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4310" windowHeight="8580" activeTab="1"/>
  </bookViews>
  <sheets>
    <sheet name="Power Calcs" sheetId="2" r:id="rId1"/>
    <sheet name="sail1" sheetId="1" r:id="rId2"/>
  </sheets>
  <definedNames>
    <definedName name="_xlnm.Print_Titles" localSheetId="1">sail1!$A:$B</definedName>
  </definedNames>
  <calcPr calcId="145621"/>
</workbook>
</file>

<file path=xl/calcChain.xml><?xml version="1.0" encoding="utf-8"?>
<calcChain xmlns="http://schemas.openxmlformats.org/spreadsheetml/2006/main">
  <c r="AO45" i="1" l="1"/>
  <c r="AO44" i="1"/>
  <c r="AO43" i="1"/>
  <c r="AO42" i="1"/>
  <c r="AO40" i="1"/>
  <c r="AO41" i="1"/>
  <c r="AO39" i="1"/>
  <c r="AO37" i="1"/>
  <c r="AP38" i="1"/>
  <c r="AH47" i="1" l="1"/>
  <c r="AH48" i="1" s="1"/>
  <c r="AH49" i="1" s="1"/>
  <c r="AH45" i="1" l="1"/>
  <c r="AH43" i="1"/>
  <c r="AH44" i="1"/>
  <c r="AP43" i="1"/>
  <c r="AH42" i="1"/>
  <c r="AI41" i="1"/>
  <c r="AK41" i="1"/>
  <c r="AL41" i="1"/>
  <c r="AM41" i="1"/>
  <c r="AN39" i="1"/>
  <c r="AH41" i="1"/>
  <c r="AH40" i="1"/>
  <c r="AH39" i="1"/>
  <c r="AH38" i="1"/>
  <c r="AH37" i="1"/>
  <c r="AH22" i="1"/>
  <c r="V71" i="1" l="1"/>
  <c r="V65" i="1"/>
  <c r="U56" i="1"/>
  <c r="V47" i="1"/>
  <c r="V48" i="1" s="1"/>
  <c r="V49" i="1" s="1"/>
  <c r="U47" i="1"/>
  <c r="U48" i="1" s="1"/>
  <c r="U49" i="1" s="1"/>
  <c r="V45" i="1"/>
  <c r="V46" i="1"/>
  <c r="U46" i="1"/>
  <c r="V43" i="1" l="1"/>
  <c r="V44" i="1" s="1"/>
  <c r="U43" i="1"/>
  <c r="U44" i="1" s="1"/>
  <c r="U45" i="1" s="1"/>
  <c r="AN43" i="1"/>
  <c r="V42" i="1"/>
  <c r="V41" i="1"/>
  <c r="V40" i="1"/>
  <c r="U40" i="1" l="1"/>
  <c r="U41" i="1"/>
  <c r="V39" i="1"/>
  <c r="U39" i="1"/>
  <c r="V38" i="1"/>
  <c r="U38" i="1"/>
  <c r="V37" i="1"/>
  <c r="U37" i="1"/>
  <c r="AH65" i="1" l="1"/>
  <c r="AH4" i="1"/>
  <c r="AI4" i="1" s="1"/>
  <c r="G42" i="1" l="1"/>
  <c r="G39" i="1"/>
  <c r="G37" i="1"/>
  <c r="X71" i="1"/>
  <c r="U71" i="1"/>
  <c r="X65" i="1"/>
  <c r="E2" i="1"/>
  <c r="G1" i="2"/>
  <c r="AA65" i="1"/>
  <c r="AQ44" i="1"/>
  <c r="AI9" i="2"/>
  <c r="F9" i="2"/>
  <c r="F11" i="2"/>
  <c r="F13" i="2" s="1"/>
  <c r="AL13" i="2"/>
  <c r="AB38" i="1"/>
  <c r="Z10" i="2"/>
  <c r="Z12" i="2"/>
  <c r="Z9" i="2"/>
  <c r="Z14" i="2" s="1"/>
  <c r="AB39" i="1"/>
  <c r="Z11" i="2"/>
  <c r="AC38" i="1"/>
  <c r="Z38" i="1"/>
  <c r="Y10" i="2"/>
  <c r="Y12" i="2"/>
  <c r="Y9" i="2"/>
  <c r="Y14" i="2" s="1"/>
  <c r="Z39" i="1"/>
  <c r="Y11" i="2" s="1"/>
  <c r="W38" i="1"/>
  <c r="W12" i="2" s="1"/>
  <c r="Y38" i="1"/>
  <c r="W10" i="2"/>
  <c r="W9" i="2"/>
  <c r="W14" i="2" s="1"/>
  <c r="AF10" i="2"/>
  <c r="AF9" i="2"/>
  <c r="AF14" i="2" s="1"/>
  <c r="AL10" i="2"/>
  <c r="AL11" i="2"/>
  <c r="AL12" i="2"/>
  <c r="AL14" i="2"/>
  <c r="AL16" i="2"/>
  <c r="AL9" i="2"/>
  <c r="T38" i="1"/>
  <c r="AI38" i="1"/>
  <c r="AJ38" i="1" s="1"/>
  <c r="AK38" i="1" s="1"/>
  <c r="I38" i="1"/>
  <c r="J12" i="2" s="1"/>
  <c r="J38" i="1"/>
  <c r="R38" i="1"/>
  <c r="S10" i="2"/>
  <c r="S12" i="2"/>
  <c r="S9" i="2"/>
  <c r="S14" i="2" s="1"/>
  <c r="R39" i="1"/>
  <c r="S11" i="2" s="1"/>
  <c r="N38" i="1"/>
  <c r="N39" i="1" s="1"/>
  <c r="O38" i="1"/>
  <c r="O10" i="2"/>
  <c r="O16" i="2" s="1"/>
  <c r="O12" i="2"/>
  <c r="O9" i="2"/>
  <c r="O14" i="2" s="1"/>
  <c r="J10" i="2"/>
  <c r="J9" i="2"/>
  <c r="J14" i="2" s="1"/>
  <c r="I39" i="1"/>
  <c r="J11" i="2" s="1"/>
  <c r="I9" i="2"/>
  <c r="I14" i="2" s="1"/>
  <c r="F12" i="2"/>
  <c r="D39" i="1"/>
  <c r="F10" i="2"/>
  <c r="AF38" i="1"/>
  <c r="AI12" i="2"/>
  <c r="AI10" i="2"/>
  <c r="AN40" i="1"/>
  <c r="F14" i="2"/>
  <c r="AI14" i="2"/>
  <c r="AB1" i="2"/>
  <c r="AC1" i="2"/>
  <c r="AD1" i="2"/>
  <c r="AE1" i="2"/>
  <c r="AF1" i="2"/>
  <c r="AG1" i="2"/>
  <c r="AQ1" i="1"/>
  <c r="D4" i="1"/>
  <c r="E4" i="1" s="1"/>
  <c r="AB6" i="2"/>
  <c r="AC6" i="2"/>
  <c r="AD6" i="2"/>
  <c r="AE6" i="2"/>
  <c r="AF6" i="2"/>
  <c r="AG6" i="2"/>
  <c r="AH6" i="2"/>
  <c r="AI6" i="2"/>
  <c r="AJ6" i="2"/>
  <c r="AK6" i="2"/>
  <c r="AB7" i="2"/>
  <c r="AC7" i="2"/>
  <c r="AD7" i="2"/>
  <c r="AE7" i="2"/>
  <c r="AF7" i="2"/>
  <c r="AG7" i="2"/>
  <c r="AH7" i="2"/>
  <c r="AI7" i="2"/>
  <c r="AJ7" i="2"/>
  <c r="AK7" i="2"/>
  <c r="X1" i="2"/>
  <c r="Y1" i="2"/>
  <c r="Z1" i="2"/>
  <c r="AA1" i="2"/>
  <c r="T6" i="2"/>
  <c r="U6" i="2"/>
  <c r="V6" i="2"/>
  <c r="W6" i="2"/>
  <c r="X6" i="2"/>
  <c r="Y6" i="2"/>
  <c r="Z6" i="2"/>
  <c r="T7" i="2"/>
  <c r="U7" i="2"/>
  <c r="V7" i="2"/>
  <c r="W7" i="2"/>
  <c r="X7" i="2"/>
  <c r="Y7" i="2"/>
  <c r="Z7" i="2"/>
  <c r="D6" i="2"/>
  <c r="E6" i="2"/>
  <c r="F6" i="2"/>
  <c r="G6" i="2"/>
  <c r="H6" i="2"/>
  <c r="I6" i="2"/>
  <c r="J6" i="2"/>
  <c r="K6" i="2"/>
  <c r="L6" i="2"/>
  <c r="M6" i="2"/>
  <c r="N6" i="2"/>
  <c r="O6" i="2"/>
  <c r="Q6" i="2"/>
  <c r="R6" i="2"/>
  <c r="S6" i="2"/>
  <c r="D7" i="2"/>
  <c r="E7" i="2"/>
  <c r="F7" i="2"/>
  <c r="G7" i="2"/>
  <c r="H7" i="2"/>
  <c r="I7" i="2"/>
  <c r="J7" i="2"/>
  <c r="K7" i="2"/>
  <c r="L7" i="2"/>
  <c r="M7" i="2"/>
  <c r="N7" i="2"/>
  <c r="O7" i="2"/>
  <c r="Q7" i="2"/>
  <c r="R7" i="2"/>
  <c r="S7" i="2"/>
  <c r="D4" i="2"/>
  <c r="E4" i="2"/>
  <c r="F4" i="2"/>
  <c r="H1" i="2"/>
  <c r="I1" i="2"/>
  <c r="J1" i="2"/>
  <c r="K1" i="2"/>
  <c r="L1" i="2"/>
  <c r="M1" i="2"/>
  <c r="N1" i="2"/>
  <c r="O1" i="2"/>
  <c r="P1" i="2"/>
  <c r="Q1" i="2"/>
  <c r="R1" i="2"/>
  <c r="S1" i="2"/>
  <c r="T1" i="2"/>
  <c r="U1" i="2"/>
  <c r="V1" i="2"/>
  <c r="W1" i="2"/>
  <c r="A2" i="2"/>
  <c r="D71" i="1"/>
  <c r="D65" i="1"/>
  <c r="D37" i="1"/>
  <c r="D40" i="1"/>
  <c r="D42" i="1"/>
  <c r="D44" i="1" s="1"/>
  <c r="D47" i="1"/>
  <c r="U65" i="1"/>
  <c r="I65" i="1"/>
  <c r="J65" i="1"/>
  <c r="K65" i="1"/>
  <c r="L65" i="1"/>
  <c r="M65" i="1"/>
  <c r="N65" i="1"/>
  <c r="P65" i="1"/>
  <c r="Q65" i="1"/>
  <c r="R65" i="1"/>
  <c r="S65" i="1"/>
  <c r="T65" i="1"/>
  <c r="W65" i="1"/>
  <c r="Y65" i="1"/>
  <c r="Z65" i="1"/>
  <c r="AB65" i="1"/>
  <c r="AF65" i="1"/>
  <c r="AG65" i="1"/>
  <c r="AI65" i="1"/>
  <c r="AJ65" i="1"/>
  <c r="AK65" i="1"/>
  <c r="AL65" i="1"/>
  <c r="AM65" i="1"/>
  <c r="AN65" i="1"/>
  <c r="AO65" i="1"/>
  <c r="AP65" i="1"/>
  <c r="E65" i="1"/>
  <c r="F65" i="1"/>
  <c r="H65" i="1"/>
  <c r="C65" i="1"/>
  <c r="B65" i="1"/>
  <c r="N71" i="1"/>
  <c r="H38" i="1"/>
  <c r="I12" i="2" s="1"/>
  <c r="K38" i="1"/>
  <c r="L38" i="1" s="1"/>
  <c r="L39" i="1" s="1"/>
  <c r="L40" i="1" s="1"/>
  <c r="L44" i="1" s="1"/>
  <c r="O37" i="1"/>
  <c r="O39" i="1"/>
  <c r="O40" i="1" s="1"/>
  <c r="H42" i="1"/>
  <c r="L42" i="1"/>
  <c r="N42" i="1"/>
  <c r="O42" i="1" s="1"/>
  <c r="N37" i="1"/>
  <c r="I42" i="1"/>
  <c r="H47" i="1"/>
  <c r="F71" i="1"/>
  <c r="H71" i="1"/>
  <c r="I37" i="1"/>
  <c r="I46" i="1"/>
  <c r="I47" i="1" s="1"/>
  <c r="I40" i="1"/>
  <c r="I44" i="1" s="1"/>
  <c r="I45" i="1" s="1"/>
  <c r="AQ58" i="1"/>
  <c r="AJ71" i="1"/>
  <c r="AK71" i="1"/>
  <c r="AL71" i="1"/>
  <c r="AM71" i="1"/>
  <c r="AN71" i="1"/>
  <c r="AO71" i="1"/>
  <c r="AP71" i="1"/>
  <c r="B71" i="1"/>
  <c r="C71" i="1"/>
  <c r="E71" i="1"/>
  <c r="I71" i="1"/>
  <c r="J71" i="1"/>
  <c r="K71" i="1"/>
  <c r="L71" i="1"/>
  <c r="M71" i="1"/>
  <c r="P71" i="1"/>
  <c r="Q71" i="1"/>
  <c r="R71" i="1"/>
  <c r="S71" i="1"/>
  <c r="T71" i="1"/>
  <c r="W71" i="1"/>
  <c r="Y71" i="1"/>
  <c r="Z71" i="1"/>
  <c r="AB71" i="1"/>
  <c r="AF71" i="1"/>
  <c r="AG71" i="1"/>
  <c r="AI71" i="1"/>
  <c r="AP39" i="1"/>
  <c r="AI39" i="1"/>
  <c r="AF39" i="1"/>
  <c r="AC39" i="1"/>
  <c r="AC40" i="1" s="1"/>
  <c r="T39" i="1"/>
  <c r="R46" i="1"/>
  <c r="R47" i="1" s="1"/>
  <c r="AF40" i="1"/>
  <c r="R42" i="1"/>
  <c r="AI40" i="1"/>
  <c r="AB40" i="1"/>
  <c r="R40" i="1"/>
  <c r="R44" i="1" s="1"/>
  <c r="R45" i="1" s="1"/>
  <c r="T40" i="1"/>
  <c r="Z40" i="1"/>
  <c r="AJ22" i="1"/>
  <c r="H37" i="1"/>
  <c r="R22" i="1"/>
  <c r="AF22" i="1"/>
  <c r="AI22" i="1"/>
  <c r="AK22" i="1"/>
  <c r="AN22" i="1"/>
  <c r="L37" i="1"/>
  <c r="R37" i="1"/>
  <c r="T37" i="1"/>
  <c r="W37" i="1"/>
  <c r="Z37" i="1"/>
  <c r="AB37" i="1"/>
  <c r="AC37" i="1"/>
  <c r="AF37" i="1"/>
  <c r="AI37" i="1"/>
  <c r="AK37" i="1"/>
  <c r="AL37" i="1"/>
  <c r="AM37" i="1"/>
  <c r="AN37" i="1"/>
  <c r="AP37" i="1"/>
  <c r="S16" i="2"/>
  <c r="T42" i="1"/>
  <c r="T44" i="1" s="1"/>
  <c r="T45" i="1" s="1"/>
  <c r="W42" i="1"/>
  <c r="Z42" i="1" s="1"/>
  <c r="AP40" i="1" l="1"/>
  <c r="AP41" i="1"/>
  <c r="AI11" i="2"/>
  <c r="AN41" i="1"/>
  <c r="W16" i="2"/>
  <c r="AI16" i="2"/>
  <c r="F16" i="2"/>
  <c r="AL38" i="1"/>
  <c r="AF12" i="2"/>
  <c r="AF16" i="2" s="1"/>
  <c r="AK39" i="1"/>
  <c r="AB42" i="1"/>
  <c r="Z44" i="1"/>
  <c r="Z45" i="1" s="1"/>
  <c r="R48" i="1"/>
  <c r="R49" i="1" s="1"/>
  <c r="D48" i="1"/>
  <c r="D49" i="1" s="1"/>
  <c r="D45" i="1"/>
  <c r="O11" i="2"/>
  <c r="N40" i="1"/>
  <c r="N44" i="1" s="1"/>
  <c r="I48" i="1"/>
  <c r="I49" i="1" s="1"/>
  <c r="O44" i="1"/>
  <c r="W39" i="1"/>
  <c r="T46" i="1"/>
  <c r="J16" i="2"/>
  <c r="AI13" i="2"/>
  <c r="H39" i="1"/>
  <c r="Y16" i="2"/>
  <c r="Z16" i="2"/>
  <c r="G4" i="2"/>
  <c r="F4" i="1"/>
  <c r="AC42" i="1" l="1"/>
  <c r="AB44" i="1"/>
  <c r="AB45" i="1" s="1"/>
  <c r="AK40" i="1"/>
  <c r="AF11" i="2"/>
  <c r="W46" i="1"/>
  <c r="T47" i="1"/>
  <c r="T48" i="1" s="1"/>
  <c r="T49" i="1" s="1"/>
  <c r="AL39" i="1"/>
  <c r="AL40" i="1" s="1"/>
  <c r="AM38" i="1"/>
  <c r="AM39" i="1" s="1"/>
  <c r="AM40" i="1" s="1"/>
  <c r="H40" i="1"/>
  <c r="H44" i="1" s="1"/>
  <c r="I11" i="2"/>
  <c r="W11" i="2"/>
  <c r="W40" i="1"/>
  <c r="W44" i="1" s="1"/>
  <c r="W45" i="1" s="1"/>
  <c r="G4" i="1"/>
  <c r="H4" i="1" s="1"/>
  <c r="H4" i="2"/>
  <c r="H45" i="1" l="1"/>
  <c r="H48" i="1"/>
  <c r="H49" i="1" s="1"/>
  <c r="Z46" i="1"/>
  <c r="W47" i="1"/>
  <c r="W48" i="1" s="1"/>
  <c r="W49" i="1" s="1"/>
  <c r="AF42" i="1"/>
  <c r="AC44" i="1"/>
  <c r="AC45" i="1" s="1"/>
  <c r="I4" i="2"/>
  <c r="I4" i="1"/>
  <c r="AB46" i="1" l="1"/>
  <c r="Z47" i="1"/>
  <c r="Z48" i="1" s="1"/>
  <c r="Z49" i="1" s="1"/>
  <c r="AI42" i="1"/>
  <c r="AF44" i="1"/>
  <c r="J4" i="1"/>
  <c r="J4" i="2"/>
  <c r="AI44" i="1" l="1"/>
  <c r="AI45" i="1" s="1"/>
  <c r="AK42" i="1"/>
  <c r="AB47" i="1"/>
  <c r="AB48" i="1" s="1"/>
  <c r="AB49" i="1" s="1"/>
  <c r="AC46" i="1"/>
  <c r="K4" i="1"/>
  <c r="K4" i="2"/>
  <c r="AC47" i="1" l="1"/>
  <c r="AC48" i="1" s="1"/>
  <c r="AC49" i="1" s="1"/>
  <c r="AI46" i="1"/>
  <c r="AL42" i="1"/>
  <c r="AK44" i="1"/>
  <c r="AK45" i="1" s="1"/>
  <c r="L4" i="2"/>
  <c r="L4" i="1"/>
  <c r="AM42" i="1" l="1"/>
  <c r="AL44" i="1"/>
  <c r="AL45" i="1" s="1"/>
  <c r="AI47" i="1"/>
  <c r="AI48" i="1" s="1"/>
  <c r="AI49" i="1" s="1"/>
  <c r="AK46" i="1"/>
  <c r="M4" i="1"/>
  <c r="M4" i="2"/>
  <c r="AL46" i="1" l="1"/>
  <c r="AK47" i="1"/>
  <c r="AK48" i="1" s="1"/>
  <c r="AK49" i="1" s="1"/>
  <c r="AN42" i="1"/>
  <c r="AM44" i="1"/>
  <c r="N4" i="1"/>
  <c r="N4" i="2"/>
  <c r="AN46" i="1" l="1"/>
  <c r="AL47" i="1"/>
  <c r="AL48" i="1" s="1"/>
  <c r="AL49" i="1" s="1"/>
  <c r="AN44" i="1"/>
  <c r="AN45" i="1" s="1"/>
  <c r="AP42" i="1"/>
  <c r="AP44" i="1" s="1"/>
  <c r="AP45" i="1" s="1"/>
  <c r="P4" i="1"/>
  <c r="O4" i="2"/>
  <c r="AP46" i="1" l="1"/>
  <c r="AP47" i="1" s="1"/>
  <c r="AP48" i="1" s="1"/>
  <c r="AP49" i="1" s="1"/>
  <c r="AN47" i="1"/>
  <c r="AN48" i="1" s="1"/>
  <c r="AN49" i="1" s="1"/>
  <c r="Q4" i="2"/>
  <c r="Q4" i="1"/>
  <c r="R4" i="2" l="1"/>
  <c r="R4" i="1"/>
  <c r="S4" i="1" l="1"/>
  <c r="S4" i="2"/>
  <c r="T4" i="2" l="1"/>
  <c r="T4" i="1"/>
  <c r="U4" i="1" l="1"/>
  <c r="U4" i="2"/>
  <c r="V4" i="2" l="1"/>
  <c r="W4" i="1"/>
  <c r="X4" i="1" l="1"/>
  <c r="Y4" i="1" s="1"/>
  <c r="W4" i="2"/>
  <c r="Z4" i="1" l="1"/>
  <c r="X4" i="2"/>
  <c r="AB4" i="1" l="1"/>
  <c r="Y4" i="2"/>
  <c r="AD4" i="1" l="1"/>
  <c r="AF4" i="1" s="1"/>
  <c r="Z4" i="2"/>
  <c r="AB4" i="2" l="1"/>
  <c r="AG4" i="1"/>
  <c r="AC4" i="2" l="1"/>
  <c r="AD4" i="2" l="1"/>
  <c r="AJ4" i="1"/>
  <c r="AE4" i="2" l="1"/>
  <c r="AK4" i="1"/>
  <c r="AL4" i="1" l="1"/>
  <c r="AF4" i="2"/>
  <c r="AG4" i="2" l="1"/>
  <c r="AM4" i="1"/>
  <c r="AH4" i="2" l="1"/>
  <c r="AN4" i="1"/>
  <c r="AI4" i="2" l="1"/>
  <c r="AO4" i="1"/>
  <c r="AP4" i="1" l="1"/>
  <c r="AK4" i="2" s="1"/>
  <c r="AJ4" i="2"/>
</calcChain>
</file>

<file path=xl/sharedStrings.xml><?xml version="1.0" encoding="utf-8"?>
<sst xmlns="http://schemas.openxmlformats.org/spreadsheetml/2006/main" count="606" uniqueCount="431">
  <si>
    <t>Code</t>
  </si>
  <si>
    <t>Mill</t>
  </si>
  <si>
    <t>Cromer</t>
  </si>
  <si>
    <t>Heckington</t>
  </si>
  <si>
    <t>Over</t>
  </si>
  <si>
    <t>Quainton</t>
  </si>
  <si>
    <t>Thelnetham</t>
  </si>
  <si>
    <t>Upminster</t>
  </si>
  <si>
    <t>West Wratting</t>
  </si>
  <si>
    <t>Wicken Fen</t>
  </si>
  <si>
    <t>Willesborough</t>
  </si>
  <si>
    <t>County</t>
  </si>
  <si>
    <t>Hertfordshire</t>
  </si>
  <si>
    <t>Lincolnshire</t>
  </si>
  <si>
    <t>Kent</t>
  </si>
  <si>
    <t>Cambridgeshire</t>
  </si>
  <si>
    <t>Buckinghamshire</t>
  </si>
  <si>
    <t>Suffolk</t>
  </si>
  <si>
    <t>Essex</t>
  </si>
  <si>
    <t>Sails</t>
  </si>
  <si>
    <t>Number of Sails</t>
  </si>
  <si>
    <t>Sail Regulation</t>
  </si>
  <si>
    <t>Modified Patent Sails</t>
  </si>
  <si>
    <t>Patent sails</t>
  </si>
  <si>
    <t>Patent Sails</t>
  </si>
  <si>
    <t>Spring Sails</t>
  </si>
  <si>
    <t>2 Patent, 2 common</t>
  </si>
  <si>
    <t>None (Common)</t>
  </si>
  <si>
    <t>Rotation</t>
  </si>
  <si>
    <t>Anti-clockwise</t>
  </si>
  <si>
    <t>Clockwise</t>
  </si>
  <si>
    <t>Sail Diameter</t>
  </si>
  <si>
    <t>56ft</t>
  </si>
  <si>
    <t>70ft</t>
  </si>
  <si>
    <t>65ft 9½in</t>
  </si>
  <si>
    <t>60ft</t>
  </si>
  <si>
    <t>68ft</t>
  </si>
  <si>
    <t>68ft 4in</t>
  </si>
  <si>
    <t>65ft</t>
  </si>
  <si>
    <t>56ft 9in</t>
  </si>
  <si>
    <t>63ft</t>
  </si>
  <si>
    <t>approx 56ft</t>
  </si>
  <si>
    <t>30ft</t>
  </si>
  <si>
    <t>72ft</t>
  </si>
  <si>
    <t>Sail Width</t>
  </si>
  <si>
    <t>8ft</t>
  </si>
  <si>
    <t>7ft 2in</t>
  </si>
  <si>
    <t>6ft 6¼in</t>
  </si>
  <si>
    <t>2 x 8ft 6in, 2 x 6ft</t>
  </si>
  <si>
    <t>7ft 6½in</t>
  </si>
  <si>
    <t>5ft 3in</t>
  </si>
  <si>
    <t>8ft 6in</t>
  </si>
  <si>
    <t>5ft 9¼in</t>
  </si>
  <si>
    <t>9ft 6in</t>
  </si>
  <si>
    <t>7ft 5½in</t>
  </si>
  <si>
    <t>9ft</t>
  </si>
  <si>
    <t>4ft</t>
  </si>
  <si>
    <t>6ft 5in</t>
  </si>
  <si>
    <t xml:space="preserve">Heel radius (heel bar)  </t>
  </si>
  <si>
    <t>4ft 2in (outer sails)</t>
  </si>
  <si>
    <t>7ft 3 3/4in</t>
  </si>
  <si>
    <t>7ft 2½in</t>
  </si>
  <si>
    <t>9ft 9in</t>
  </si>
  <si>
    <t>5ft 4in</t>
  </si>
  <si>
    <t>7ft</t>
  </si>
  <si>
    <t>4ft 8½in</t>
  </si>
  <si>
    <t>6ft 1 3/8in</t>
  </si>
  <si>
    <t>3ft</t>
  </si>
  <si>
    <t>6ft 4in</t>
  </si>
  <si>
    <t>Sail Angles</t>
  </si>
  <si>
    <t>Tip, degrees</t>
  </si>
  <si>
    <t>approx 10</t>
  </si>
  <si>
    <t>Heel, degrees</t>
  </si>
  <si>
    <t>approx 25</t>
  </si>
  <si>
    <t>20½</t>
  </si>
  <si>
    <t>Bays</t>
  </si>
  <si>
    <t>Bays per Sail</t>
  </si>
  <si>
    <t>8 (outer sails)</t>
  </si>
  <si>
    <t>10 (front)</t>
  </si>
  <si>
    <t>7 (inner sails)</t>
  </si>
  <si>
    <t>9 (rear)</t>
  </si>
  <si>
    <t>Bay Size</t>
  </si>
  <si>
    <t>90" x 30" between bars</t>
  </si>
  <si>
    <t>2ft 6¼in</t>
  </si>
  <si>
    <t>2ft 10in</t>
  </si>
  <si>
    <t>2ft 6 3/8in</t>
  </si>
  <si>
    <t>Shutters</t>
  </si>
  <si>
    <t>Number per mill</t>
  </si>
  <si>
    <t>Number per Sail</t>
  </si>
  <si>
    <t>24 (front)</t>
  </si>
  <si>
    <t>35 (Driving side)</t>
  </si>
  <si>
    <t>21 (rear)</t>
  </si>
  <si>
    <t>12 (leading side)</t>
  </si>
  <si>
    <t>Breadth (in)</t>
  </si>
  <si>
    <t>11½</t>
  </si>
  <si>
    <t>10¼</t>
  </si>
  <si>
    <t>13½</t>
  </si>
  <si>
    <t>10, 10 5/8</t>
  </si>
  <si>
    <t>8½</t>
  </si>
  <si>
    <t>Length, leading</t>
  </si>
  <si>
    <t>Not applicable</t>
  </si>
  <si>
    <t>8in, leading board</t>
  </si>
  <si>
    <t>1ft 4 5/8in</t>
  </si>
  <si>
    <t>2ft 5in</t>
  </si>
  <si>
    <t>3ft 3½in</t>
  </si>
  <si>
    <t>2ft 5½in</t>
  </si>
  <si>
    <t>1ft 4in</t>
  </si>
  <si>
    <t>2ft 7 3/4in</t>
  </si>
  <si>
    <t>1ft 2 3/8in</t>
  </si>
  <si>
    <t>Length, driving</t>
  </si>
  <si>
    <t>7ft 4in</t>
  </si>
  <si>
    <t>5ft 6in</t>
  </si>
  <si>
    <t>3ft 8 5/8in</t>
  </si>
  <si>
    <t>4ft 6in</t>
  </si>
  <si>
    <t>2ft 10¼</t>
  </si>
  <si>
    <t>3ft 11 3/4in</t>
  </si>
  <si>
    <t>3ft 3 1/8in</t>
  </si>
  <si>
    <t>approx  3ft 10in</t>
  </si>
  <si>
    <t>4ft 2 7/8in*</t>
  </si>
  <si>
    <t>3ft 9 3/4in</t>
  </si>
  <si>
    <t>Crank Pitch, in</t>
  </si>
  <si>
    <t>approx 5</t>
  </si>
  <si>
    <t>5½</t>
  </si>
  <si>
    <t>5¼</t>
  </si>
  <si>
    <t>6¼</t>
  </si>
  <si>
    <t>5 ¼</t>
  </si>
  <si>
    <t>Windshaft</t>
  </si>
  <si>
    <t>Inclination (deg)</t>
  </si>
  <si>
    <t>15½</t>
  </si>
  <si>
    <t>14½</t>
  </si>
  <si>
    <t>Brake Wheel</t>
  </si>
  <si>
    <t>Diameter</t>
  </si>
  <si>
    <t xml:space="preserve">7ft 2½in (pcd 6ft 8¼in) </t>
  </si>
  <si>
    <t>6ft 11in</t>
  </si>
  <si>
    <t>8ft 8in (8ft 3 3/4in pcd)</t>
  </si>
  <si>
    <t>7ft 6in</t>
  </si>
  <si>
    <t>7ft 8 3/4in (7ft 3in pcd)</t>
  </si>
  <si>
    <t>10ft 9in</t>
  </si>
  <si>
    <t>7ft2in(pcd 6ft5 3/8in)</t>
  </si>
  <si>
    <t>8ft 2in</t>
  </si>
  <si>
    <t>2ft</t>
  </si>
  <si>
    <t xml:space="preserve">9ft (8ft 4¼in pcd) </t>
  </si>
  <si>
    <t>Teeth</t>
  </si>
  <si>
    <t>Wallower</t>
  </si>
  <si>
    <t>3ft 1 3/8in (pcd 3ft)</t>
  </si>
  <si>
    <t>3ft 8in</t>
  </si>
  <si>
    <t>3ft 1in</t>
  </si>
  <si>
    <t>5ft 9in</t>
  </si>
  <si>
    <t>4ft 4½in</t>
  </si>
  <si>
    <t>5ft 7 9/16in</t>
  </si>
  <si>
    <t>3ft 11in</t>
  </si>
  <si>
    <t>Spur Gear</t>
  </si>
  <si>
    <t>5ft 5½in (pcd 5ft 4 1/8in)</t>
  </si>
  <si>
    <t>6ft 10in</t>
  </si>
  <si>
    <t>5ft 9½in</t>
  </si>
  <si>
    <t>6ft 2 3/8in</t>
  </si>
  <si>
    <t>5ft 10in</t>
  </si>
  <si>
    <t>Stone Nut</t>
  </si>
  <si>
    <t>1ft 6in</t>
  </si>
  <si>
    <t>1ft 6½in (pcd 1ft 5 1/8in)</t>
  </si>
  <si>
    <t>1ft 1½in</t>
  </si>
  <si>
    <t>1ft 11in</t>
  </si>
  <si>
    <t>1ft 9¼in</t>
  </si>
  <si>
    <t>1ft 5in</t>
  </si>
  <si>
    <t>2ft 1in</t>
  </si>
  <si>
    <t>17¼in (16 1/8in pcd)</t>
  </si>
  <si>
    <t>Gear Ratio</t>
  </si>
  <si>
    <t>Sail RPM for Stone RPM</t>
  </si>
  <si>
    <t>Sail Tip Speed (MPH)</t>
  </si>
  <si>
    <t>Angle of Attack, Tip, deg</t>
  </si>
  <si>
    <t>Sail RPM, at this attack</t>
  </si>
  <si>
    <t>Stones</t>
  </si>
  <si>
    <t>Stone diameter</t>
  </si>
  <si>
    <t>1 x 4ft 4in</t>
  </si>
  <si>
    <t>2 x 4ft 6in</t>
  </si>
  <si>
    <t>4ft 2in</t>
  </si>
  <si>
    <t>4ft 6in (peak)</t>
  </si>
  <si>
    <t>4ft burr</t>
  </si>
  <si>
    <t>1 x 4ft 6in</t>
  </si>
  <si>
    <t>1 x 4ft (burr)</t>
  </si>
  <si>
    <t>1 x 3ft 8in</t>
  </si>
  <si>
    <t>1 x 4ft 2in</t>
  </si>
  <si>
    <t>1 x 4ft (peak)</t>
  </si>
  <si>
    <t>1 x 4ft</t>
  </si>
  <si>
    <t>1 peak, 1 burr</t>
  </si>
  <si>
    <t>4, and once 5</t>
  </si>
  <si>
    <t>History</t>
  </si>
  <si>
    <t>Sail Date</t>
  </si>
  <si>
    <t>1914/15</t>
  </si>
  <si>
    <t>1986 approx</t>
  </si>
  <si>
    <t>40ft stocks fitted</t>
  </si>
  <si>
    <t>1985-6</t>
  </si>
  <si>
    <t>Millwright (sails)</t>
  </si>
  <si>
    <t>Thompson's</t>
  </si>
  <si>
    <t>V. Pargeter</t>
  </si>
  <si>
    <t>GC Wilson</t>
  </si>
  <si>
    <t>Vincent Pargeter</t>
  </si>
  <si>
    <t>Hole</t>
  </si>
  <si>
    <t>1998 by P.Stenning</t>
  </si>
  <si>
    <t>Machinery Date</t>
  </si>
  <si>
    <t>c 1860</t>
  </si>
  <si>
    <t>1830 (5 sails)</t>
  </si>
  <si>
    <t>Mill built about 1760 (VP)</t>
  </si>
  <si>
    <t>1813 onwards</t>
  </si>
  <si>
    <t>Millwright</t>
  </si>
  <si>
    <t>1892 (8 sails)</t>
  </si>
  <si>
    <t>Holman</t>
  </si>
  <si>
    <t>Hill</t>
  </si>
  <si>
    <t>Data Source</t>
  </si>
  <si>
    <t>L Bonwick</t>
  </si>
  <si>
    <t>MC Hanson</t>
  </si>
  <si>
    <t>ADW, DLP</t>
  </si>
  <si>
    <t>ADW/DLP</t>
  </si>
  <si>
    <t>A. Kite</t>
  </si>
  <si>
    <t>ADW</t>
  </si>
  <si>
    <t>RWDS,ADW,DLP</t>
  </si>
  <si>
    <t>DLP</t>
  </si>
  <si>
    <t>Notes</t>
  </si>
  <si>
    <t>Drives scoop wheel</t>
  </si>
  <si>
    <t>Chislet</t>
  </si>
  <si>
    <t>67ft 10in</t>
  </si>
  <si>
    <t>Holman's Record Book (sails)</t>
  </si>
  <si>
    <t>WINDMILL SAIL PERFORMANCE DATA BASE</t>
  </si>
  <si>
    <t>2ft 6½in</t>
  </si>
  <si>
    <t xml:space="preserve">30 (driving),  + 15 short shutters on the outer 5 bays of the leading side    </t>
  </si>
  <si>
    <t>180 (see below)</t>
  </si>
  <si>
    <t>3ft 1½in (heel) to 3ft 5in (tip)</t>
  </si>
  <si>
    <t>Wide shutters in front of whip, extending full width of sail frame.  Single working uplong down middle of shutters.  Heel radius of rear sails 8ft 4in.</t>
  </si>
  <si>
    <t xml:space="preserve">NB  Sail bar length assumes hemlaths 1 1/4in wide, and 1 1/4in overhang beyond hemlath. </t>
  </si>
  <si>
    <t>Chillenden</t>
  </si>
  <si>
    <t>57ft 5in (assuming canister 2ft 5in)</t>
  </si>
  <si>
    <t>5ft 5in</t>
  </si>
  <si>
    <t>3ft 6in</t>
  </si>
  <si>
    <t>10½</t>
  </si>
  <si>
    <t>2 shutters per bay.  Coles Finch shows the mill with 8 driving bays, 3 shutters per bay.</t>
  </si>
  <si>
    <t>Read</t>
  </si>
  <si>
    <t>3ft 2in (heel), 3ft 5in (tip)</t>
  </si>
  <si>
    <t>Barham Down</t>
  </si>
  <si>
    <t>73ft 2in (inner pair)</t>
  </si>
  <si>
    <t>2ft 0½in</t>
  </si>
  <si>
    <t>2 shutters per bay</t>
  </si>
  <si>
    <t>Inner sweeps 72ft 7in (assuming canister 2ft 5in)</t>
  </si>
  <si>
    <t>Tie Bars link sail tips.  (Original 5 sails were 15ft wide at tip &amp; 12ft at heel, &amp; had longitudinal shutters on both sides of backs.  PCJD, reported by MCH)</t>
  </si>
  <si>
    <t>Brill</t>
  </si>
  <si>
    <t>Common Sails</t>
  </si>
  <si>
    <t>Luke Bonwick, 2009 sails</t>
  </si>
  <si>
    <t>Working sails 54ft dia (Freese)</t>
  </si>
  <si>
    <t xml:space="preserve">50ft 8in </t>
  </si>
  <si>
    <t>16 (front), 17 (rear)</t>
  </si>
  <si>
    <t>2ft 9in</t>
  </si>
  <si>
    <t>7ft 9in</t>
  </si>
  <si>
    <r>
      <t>1ft 3</t>
    </r>
    <r>
      <rPr>
        <sz val="10"/>
        <rFont val="Arial"/>
        <family val="2"/>
      </rPr>
      <t>½in</t>
    </r>
  </si>
  <si>
    <t>m</t>
  </si>
  <si>
    <t>Stickford</t>
  </si>
  <si>
    <t>60ft 9in</t>
  </si>
  <si>
    <r>
      <t>6ft 3</t>
    </r>
    <r>
      <rPr>
        <sz val="10"/>
        <rFont val="Arial"/>
        <family val="2"/>
      </rPr>
      <t>½</t>
    </r>
    <r>
      <rPr>
        <sz val="10"/>
        <rFont val="Times New Roman"/>
        <family val="1"/>
      </rPr>
      <t>in</t>
    </r>
  </si>
  <si>
    <r>
      <t>3ft 5</t>
    </r>
    <r>
      <rPr>
        <sz val="10"/>
        <rFont val="Arial"/>
        <family val="2"/>
      </rPr>
      <t>¼</t>
    </r>
    <r>
      <rPr>
        <sz val="10"/>
        <rFont val="Times New Roman"/>
        <family val="1"/>
      </rPr>
      <t>in</t>
    </r>
  </si>
  <si>
    <r>
      <t>5</t>
    </r>
    <r>
      <rPr>
        <sz val="10"/>
        <rFont val="Times New Roman"/>
        <family val="1"/>
      </rPr>
      <t>⅝</t>
    </r>
  </si>
  <si>
    <t>1 x 4ft (removed after 1933 closure)</t>
  </si>
  <si>
    <t>Reference Wind Speed (MPH)</t>
  </si>
  <si>
    <t>Reference Attack Angle, deg</t>
  </si>
  <si>
    <t>Tip Speed Ratio, at Reference Attack Angle</t>
  </si>
  <si>
    <t xml:space="preserve"> </t>
  </si>
  <si>
    <t>Stone speed at this attack RPM)</t>
  </si>
  <si>
    <t>Calculations</t>
  </si>
  <si>
    <t>Measurements from original, working, sail back, 13/7/2011</t>
  </si>
  <si>
    <r>
      <t>Bay 9 (heel) has only 2 shutters.          Sail design derived from Hunt's record books, &amp; photographs.                      Sail angles as at Over &amp; Thelnetham.   * 3ft 7</t>
    </r>
    <r>
      <rPr>
        <sz val="8"/>
        <rFont val="Times New Roman"/>
        <family val="1"/>
      </rPr>
      <t>¾</t>
    </r>
    <r>
      <rPr>
        <sz val="8"/>
        <rFont val="Times New Roman"/>
        <family val="1"/>
      </rPr>
      <t>in bays 8,9</t>
    </r>
  </si>
  <si>
    <t>Issue Date</t>
  </si>
  <si>
    <t>Tip Speed Ratio, at reference wind speed</t>
  </si>
  <si>
    <t>Assumed Stone RPM</t>
  </si>
  <si>
    <t>1 x 4ft 1in                         &amp; 1 on lower stone floor</t>
  </si>
  <si>
    <t>1 x Burr                                &amp; 2 x Peak</t>
  </si>
  <si>
    <t>Stelling Minnis</t>
  </si>
  <si>
    <t>Soham Downfield</t>
  </si>
  <si>
    <t>1 x 4ft 8in</t>
  </si>
  <si>
    <t>1 x ?</t>
  </si>
  <si>
    <r>
      <t>Leading Board, 6</t>
    </r>
    <r>
      <rPr>
        <sz val="8"/>
        <rFont val="Arial"/>
        <family val="2"/>
      </rPr>
      <t>½in</t>
    </r>
  </si>
  <si>
    <t>Harriermere</t>
  </si>
  <si>
    <t>82ft</t>
  </si>
  <si>
    <t>7ft 3in</t>
  </si>
  <si>
    <t>9ft 0in</t>
  </si>
  <si>
    <t>7ft 0in</t>
  </si>
  <si>
    <t>24ft 0in</t>
  </si>
  <si>
    <t>Measurements taken by A. Carmichael, July 1906</t>
  </si>
  <si>
    <t>Pumping mill on the Ouse, nr Barway, Middle Fen District</t>
  </si>
  <si>
    <t>30ft scoop wheel</t>
  </si>
  <si>
    <t>Reported in R.W. Allen,1913, 'Modern pumping machinery for drainage of the Fens', Proc I.Mech.E.  According to Allen Harriermere was then the largest fenland drainage mill still at work.</t>
  </si>
  <si>
    <t>Burwell</t>
  </si>
  <si>
    <t>Long Clawson</t>
  </si>
  <si>
    <t>Leicestershire</t>
  </si>
  <si>
    <t>5ft</t>
  </si>
  <si>
    <t>'Windmills of Derbyshire, Leicestershire &amp; Nottinghamshire, Part II: Tower Mills', Baker P and Wailes, R, Newcomen Society 1962</t>
  </si>
  <si>
    <t>Bolsover</t>
  </si>
  <si>
    <t>Derbyshire</t>
  </si>
  <si>
    <t>Brake Wheel &amp; Spur Wheel had wooden cogs.  Wallower had iron cogs.</t>
  </si>
  <si>
    <t>Coddington</t>
  </si>
  <si>
    <t>Nottinghamshire</t>
  </si>
  <si>
    <t>Cogs of brake wheel, waller and spur wheel wooden.</t>
  </si>
  <si>
    <t>Heage</t>
  </si>
  <si>
    <t>South Normanton</t>
  </si>
  <si>
    <t>'Windmills of Derbyshire, Leicestershire &amp; Nottinghamshire, Part I: Post Mills', Baker P and Wailes, R, Newcomen Society 1961</t>
  </si>
  <si>
    <t>67ft 7in</t>
  </si>
  <si>
    <t>8ft 4⅜in</t>
  </si>
  <si>
    <t>Luke Bonwick, e-mail of 3rd October 2011</t>
  </si>
  <si>
    <t>4ft 7in</t>
  </si>
  <si>
    <r>
      <t>approx 1ft 11</t>
    </r>
    <r>
      <rPr>
        <sz val="10"/>
        <rFont val="Arial"/>
        <family val="2"/>
      </rPr>
      <t>½</t>
    </r>
    <r>
      <rPr>
        <sz val="10"/>
        <rFont val="Times New Roman"/>
        <family val="1"/>
      </rPr>
      <t>in</t>
    </r>
  </si>
  <si>
    <t>approx 4ft 1in</t>
  </si>
  <si>
    <t>4ft 0in</t>
  </si>
  <si>
    <t>8ft 0in</t>
  </si>
  <si>
    <t>17in overall</t>
  </si>
  <si>
    <t>Frank Hobbs</t>
  </si>
  <si>
    <t>All four sails virtually identical.  Sail hub height 45ft 11in.  Brake wheel cog pitch 5in.  Crown Wheel 5ft 0in diameter, 66 cogs, 2⅜in pitch.  All three sets of stones 4ft 0in diameter.  West stones by Garner, south stones by Hughes.  Bevel gear for engine drive on stone spindle, approx 2ft 2⅜in diameter, 44 teeth of 1¾in pitch.</t>
  </si>
  <si>
    <t xml:space="preserve">Using Alan Stoyel's charts, Luke suggests that the brake wheel &amp; waller appear to be earlier than the spur gearing:  Brake Wheel/Waller pre-1810, Crown Wheel 1810 to 1840, Spur Gearing 1810 to 1880.  </t>
  </si>
  <si>
    <r>
      <t>No wind boards.  Some shutter 3ft 5</t>
    </r>
    <r>
      <rPr>
        <sz val="8"/>
        <rFont val="Times New Roman"/>
        <family val="1"/>
      </rPr>
      <t>⅛</t>
    </r>
    <r>
      <rPr>
        <sz val="8"/>
        <rFont val="Times New Roman"/>
        <family val="1"/>
      </rPr>
      <t>in wide:  rear sails?</t>
    </r>
  </si>
  <si>
    <t>2 sails equipped with van Bussel (Fok) scoops over outer 3 bays for enhanced performance.  Sails have 2 shutter bay at heel.</t>
  </si>
  <si>
    <t>Steel stocks.  Sweeps 7 bays x 3 shutters.  2 bays x 2 shutters.  Sails shortened to clear engine house.</t>
  </si>
  <si>
    <t>Sails built by G.C. Wilson as replicas of working sails.  Cubitt's original system, with thimbles let into whips &amp; uplongs.</t>
  </si>
  <si>
    <t>Possibly originally a drainage mill (P. Stenning)</t>
  </si>
  <si>
    <r>
      <t>Bay 12 (heel) has only 2 shutters.  Sail leading edge set at 22</t>
    </r>
    <r>
      <rPr>
        <sz val="8"/>
        <rFont val="Arial"/>
        <family val="2"/>
      </rPr>
      <t>°</t>
    </r>
    <r>
      <rPr>
        <sz val="8"/>
        <rFont val="Times New Roman"/>
        <family val="1"/>
      </rPr>
      <t>.  Shutters on leading side in outer 4 bays only.</t>
    </r>
  </si>
  <si>
    <t>Shutters carried in wooden thimble strips.</t>
  </si>
  <si>
    <t>Boston, Maud Foster</t>
  </si>
  <si>
    <t>13*</t>
  </si>
  <si>
    <t>James Waterfield</t>
  </si>
  <si>
    <t>3ft 9in (Heel bays 2 x 2ft 6in)</t>
  </si>
  <si>
    <t>4ft 3⅝in</t>
  </si>
  <si>
    <t>Wicken Corn Mill</t>
  </si>
  <si>
    <t>Sandwich White Mill</t>
  </si>
  <si>
    <t>Margate, Drapers Mill</t>
  </si>
  <si>
    <t>Stone RPM</t>
  </si>
  <si>
    <t>OPTIMUM</t>
  </si>
  <si>
    <t>CALCULATION</t>
  </si>
  <si>
    <t>73ft 5in</t>
  </si>
  <si>
    <r>
      <t>The sail radius is estimated as Jampher (5</t>
    </r>
    <r>
      <rPr>
        <sz val="8"/>
        <rFont val="Arial"/>
        <family val="2"/>
      </rPr>
      <t>½</t>
    </r>
    <r>
      <rPr>
        <sz val="8"/>
        <rFont val="Times New Roman"/>
        <family val="1"/>
      </rPr>
      <t>in) + Whip (36ft 3in).                               *  18 shutters at 13in, 4 @ 12in.  The narrow shutters confined to the 2 heel bays.</t>
    </r>
  </si>
  <si>
    <t>Additional information taken by DLP from photographs in the Cambridgeshire Collection.</t>
  </si>
  <si>
    <t>Great Gransden</t>
  </si>
  <si>
    <t>2 spring, 2 common</t>
  </si>
  <si>
    <t>7 (spring sails)</t>
  </si>
  <si>
    <r>
      <t>4ft 6</t>
    </r>
    <r>
      <rPr>
        <sz val="10"/>
        <rFont val="Times New Roman"/>
        <family val="1"/>
      </rPr>
      <t>⅜</t>
    </r>
    <r>
      <rPr>
        <sz val="10"/>
        <rFont val="Times New Roman"/>
        <family val="1"/>
      </rPr>
      <t>in Tail Wheel</t>
    </r>
  </si>
  <si>
    <r>
      <t>6ft 7</t>
    </r>
    <r>
      <rPr>
        <sz val="10"/>
        <rFont val="Times New Roman"/>
        <family val="1"/>
      </rPr>
      <t>⅜</t>
    </r>
    <r>
      <rPr>
        <sz val="10"/>
        <rFont val="Times New Roman"/>
        <family val="1"/>
      </rPr>
      <t>in Brake Wheel</t>
    </r>
  </si>
  <si>
    <t>18in overall</t>
  </si>
  <si>
    <t>9in overall</t>
  </si>
  <si>
    <t>NB  Sweeps reduced in length to clear engine house.</t>
  </si>
  <si>
    <t>Wicken Windmill Partnership</t>
  </si>
  <si>
    <t>Hole (original sails by Hill, 1869)</t>
  </si>
  <si>
    <t>Clem Read,                 Cottered</t>
  </si>
  <si>
    <t>Holman's,                Canterbury</t>
  </si>
  <si>
    <t xml:space="preserve">Pairs,                                               in commercial working days         </t>
  </si>
  <si>
    <t>There is an old stone on the ground of 4ft 2in dis.</t>
  </si>
  <si>
    <t>Date on preserved lower side rail:  1674                               Date on bolter: 1774</t>
  </si>
  <si>
    <t>Plouezec, Brittany</t>
  </si>
  <si>
    <t>Le Moulin de Craca</t>
  </si>
  <si>
    <t>54ft 1½in</t>
  </si>
  <si>
    <t>6ft 6.75in</t>
  </si>
  <si>
    <t>1 x 6ft 4.75in</t>
  </si>
  <si>
    <t>Windmill guide book</t>
  </si>
  <si>
    <t>Bloxham Grove</t>
  </si>
  <si>
    <t>Oxfordshire</t>
  </si>
  <si>
    <t>23ft 6in</t>
  </si>
  <si>
    <t>3ft 1⅛in</t>
  </si>
  <si>
    <r>
      <t>2ft 4</t>
    </r>
    <r>
      <rPr>
        <sz val="10"/>
        <rFont val="Arial"/>
        <family val="2"/>
      </rPr>
      <t>½</t>
    </r>
    <r>
      <rPr>
        <sz val="10"/>
        <rFont val="Times New Roman"/>
        <family val="1"/>
      </rPr>
      <t>in</t>
    </r>
  </si>
  <si>
    <t>Sail Power</t>
  </si>
  <si>
    <t>Air density 1.125kg/m3</t>
  </si>
  <si>
    <t>Wind speed 13m/s</t>
  </si>
  <si>
    <t>kg/m3</t>
  </si>
  <si>
    <t>m/s</t>
  </si>
  <si>
    <t>Stone gap</t>
  </si>
  <si>
    <t>mm</t>
  </si>
  <si>
    <t>Sail Power (kW)</t>
  </si>
  <si>
    <t>Stone Power (kW)</t>
  </si>
  <si>
    <t>Stone diameter (m)</t>
  </si>
  <si>
    <t>Design sail RPM</t>
  </si>
  <si>
    <t>Design stone speed RPM</t>
  </si>
  <si>
    <t>Meal viscosity</t>
  </si>
  <si>
    <t>kg/m/s</t>
  </si>
  <si>
    <t>Sail Diameter (m)</t>
  </si>
  <si>
    <t>Coefficient of Performance</t>
  </si>
  <si>
    <t>Design Tip Speed  (MPH)</t>
  </si>
  <si>
    <t>Six Mile Bottom</t>
  </si>
  <si>
    <t>2 x Patent</t>
  </si>
  <si>
    <t>2 x Common</t>
  </si>
  <si>
    <t>58ft</t>
  </si>
  <si>
    <r>
      <t>2ft 8</t>
    </r>
    <r>
      <rPr>
        <sz val="10"/>
        <rFont val="Arial"/>
        <family val="2"/>
      </rPr>
      <t>½</t>
    </r>
  </si>
  <si>
    <r>
      <t>2ft 10</t>
    </r>
    <r>
      <rPr>
        <sz val="10"/>
        <rFont val="Arial"/>
        <family val="2"/>
      </rPr>
      <t>½</t>
    </r>
    <r>
      <rPr>
        <sz val="10"/>
        <rFont val="Times New Roman"/>
        <family val="1"/>
      </rPr>
      <t>in</t>
    </r>
  </si>
  <si>
    <r>
      <t>49ft 2</t>
    </r>
    <r>
      <rPr>
        <sz val="10"/>
        <rFont val="Arial"/>
        <family val="2"/>
      </rPr>
      <t>½</t>
    </r>
    <r>
      <rPr>
        <sz val="10"/>
        <rFont val="Times New Roman"/>
        <family val="1"/>
      </rPr>
      <t>in</t>
    </r>
  </si>
  <si>
    <t>P.Barrett Lennard 1978 -81 / Thomsons approx  1983</t>
  </si>
  <si>
    <t>Measurements 6/3/2012           Sail diameter 4/10/2013  Dave Pearce/Martin Davies)</t>
  </si>
  <si>
    <t>Luke Bonwick, 2013</t>
  </si>
  <si>
    <t>Patrick Tooms, measurements post-1970's restoration</t>
  </si>
  <si>
    <t>approx 8</t>
  </si>
  <si>
    <t>8ft 1in</t>
  </si>
  <si>
    <r>
      <t>7ft 10</t>
    </r>
    <r>
      <rPr>
        <sz val="10"/>
        <rFont val="Calibri"/>
        <family val="2"/>
      </rPr>
      <t>½</t>
    </r>
    <r>
      <rPr>
        <sz val="10"/>
        <rFont val="Times New Roman"/>
        <family val="1"/>
      </rPr>
      <t>in</t>
    </r>
  </si>
  <si>
    <r>
      <t>NB  Intermediate sail twist estimate:  14</t>
    </r>
    <r>
      <rPr>
        <sz val="8"/>
        <rFont val="Calibri"/>
        <family val="2"/>
      </rPr>
      <t>º</t>
    </r>
    <r>
      <rPr>
        <sz val="8"/>
        <rFont val="Times New Roman"/>
        <family val="1"/>
      </rPr>
      <t xml:space="preserve"> at Bar 5, where bar 8 is tip bar.</t>
    </r>
  </si>
  <si>
    <t>D.L. Pearce</t>
  </si>
  <si>
    <t>Oldland, Keymer</t>
  </si>
  <si>
    <t>W. Sussex</t>
  </si>
  <si>
    <t>Bourn</t>
  </si>
  <si>
    <t>2 x Spring, 2 x Common</t>
  </si>
  <si>
    <t>1, in head</t>
  </si>
  <si>
    <t>Chris Wallis, approx 1980</t>
  </si>
  <si>
    <t>Dave Pearce</t>
  </si>
  <si>
    <t>5 ⅛</t>
  </si>
  <si>
    <t>Data derived by Stuart Meyer from Mick Fitter records and by measurement</t>
  </si>
  <si>
    <t>South Walsham</t>
  </si>
  <si>
    <t>Norfolk</t>
  </si>
  <si>
    <t>Richard Seago</t>
  </si>
  <si>
    <t>The original millwright is unknown.   Maintenance and repairs were carried out throughout the mill's commercial life by Hunt's of Soham.                    NB  Strong similarities to the old King's Parade Mill, Soham, make it increasingly likely that Hunt's were the millwrights for construction of Wicken Corn Mill.</t>
  </si>
  <si>
    <t>6ft 8in</t>
  </si>
  <si>
    <r>
      <t xml:space="preserve">2ft 0 </t>
    </r>
    <r>
      <rPr>
        <sz val="10"/>
        <rFont val="Calibri"/>
        <family val="2"/>
      </rPr>
      <t>½</t>
    </r>
    <r>
      <rPr>
        <sz val="10"/>
        <rFont val="Times New Roman"/>
        <family val="1"/>
      </rPr>
      <t>in</t>
    </r>
  </si>
  <si>
    <r>
      <t>7</t>
    </r>
    <r>
      <rPr>
        <sz val="10"/>
        <rFont val="Calibri"/>
        <family val="2"/>
      </rPr>
      <t>½</t>
    </r>
  </si>
  <si>
    <r>
      <t>12</t>
    </r>
    <r>
      <rPr>
        <sz val="10"/>
        <rFont val="Calibri"/>
        <family val="2"/>
      </rPr>
      <t>½</t>
    </r>
  </si>
  <si>
    <r>
      <t>3ft 11</t>
    </r>
    <r>
      <rPr>
        <sz val="10"/>
        <rFont val="Calibri"/>
        <family val="2"/>
      </rPr>
      <t>¾</t>
    </r>
    <r>
      <rPr>
        <sz val="10"/>
        <rFont val="Times New Roman"/>
        <family val="1"/>
      </rPr>
      <t>in</t>
    </r>
  </si>
  <si>
    <t xml:space="preserve">                             m/s</t>
  </si>
  <si>
    <t>Oldland,  Head Stones</t>
  </si>
  <si>
    <t>Oldland, Keymer, Tail Stones</t>
  </si>
  <si>
    <t>Sail Angles:  Mick Fitter                                               Windshaft inclination:  Paul Hicks</t>
  </si>
  <si>
    <t>62ft 10in</t>
  </si>
  <si>
    <t>6ft 6in</t>
  </si>
  <si>
    <r>
      <t>2ft 10</t>
    </r>
    <r>
      <rPr>
        <sz val="10"/>
        <rFont val="Calibri"/>
        <family val="2"/>
      </rPr>
      <t>½</t>
    </r>
    <r>
      <rPr>
        <sz val="10"/>
        <rFont val="Times New Roman"/>
        <family val="1"/>
      </rPr>
      <t>in</t>
    </r>
  </si>
  <si>
    <t>3ft 9in</t>
  </si>
  <si>
    <r>
      <t>6</t>
    </r>
    <r>
      <rPr>
        <sz val="10"/>
        <rFont val="Calibri"/>
        <family val="2"/>
      </rPr>
      <t>¼</t>
    </r>
  </si>
  <si>
    <t>2ft 6in</t>
  </si>
  <si>
    <t>4ft 1in</t>
  </si>
  <si>
    <t>1ft 1in</t>
  </si>
  <si>
    <t>2 x 4ft</t>
  </si>
  <si>
    <t>Under construction 2014</t>
  </si>
  <si>
    <t xml:space="preserve">Designed by Richard Seago.  Utilises some iron components from Eye Mill, Suffolk.  </t>
  </si>
  <si>
    <t>The windshaft failed within the sail cross, on Boxing Day 2013.  A new windshaft was supplied and fitted by Dorothea Restorations (Geoff Wallis) in 2014.</t>
  </si>
  <si>
    <r>
      <t>1ft 4</t>
    </r>
    <r>
      <rPr>
        <sz val="10"/>
        <rFont val="Calibri"/>
        <family val="2"/>
      </rPr>
      <t>¾</t>
    </r>
    <r>
      <rPr>
        <sz val="10"/>
        <rFont val="Times New Roman"/>
        <family val="1"/>
      </rPr>
      <t>in</t>
    </r>
  </si>
  <si>
    <r>
      <t>5ft 7</t>
    </r>
    <r>
      <rPr>
        <sz val="10"/>
        <rFont val="Calibri"/>
        <family val="2"/>
      </rPr>
      <t>½</t>
    </r>
    <r>
      <rPr>
        <sz val="10"/>
        <rFont val="Times New Roman"/>
        <family val="1"/>
      </rPr>
      <t>in</t>
    </r>
  </si>
  <si>
    <t>GC Wilson,                  &amp; Wicken Fen drawing</t>
  </si>
  <si>
    <r>
      <t>12ft 2</t>
    </r>
    <r>
      <rPr>
        <sz val="10"/>
        <rFont val="Calibri"/>
        <family val="2"/>
      </rPr>
      <t>½</t>
    </r>
    <r>
      <rPr>
        <sz val="10"/>
        <rFont val="Times New Roman"/>
        <family val="1"/>
      </rPr>
      <t>in (scoop wheel diameter)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</si>
</sst>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mm\ d\,\ yyyy"/>
    <numFmt numFmtId="166" formatCode="[$-F800]dddd\,\ mmmm\ dd\,\ yyyy"/>
  </numFmts>
  <fonts count="34" x14ac:knownFonts="1">
    <font>
      <sz val="10"/>
      <name val="MS Sans Serif"/>
    </font>
    <font>
      <sz val="8"/>
      <name val="Times New Roman"/>
      <family val="1"/>
    </font>
    <font>
      <b/>
      <sz val="8"/>
      <name val="Times New Roman"/>
      <family val="1"/>
    </font>
    <font>
      <b/>
      <i/>
      <sz val="8"/>
      <name val="Times New Roman"/>
      <family val="1"/>
    </font>
    <font>
      <sz val="10"/>
      <name val="Times New Roman"/>
      <family val="1"/>
    </font>
    <font>
      <b/>
      <i/>
      <sz val="10"/>
      <name val="Times New Roman"/>
      <family val="1"/>
    </font>
    <font>
      <b/>
      <sz val="10"/>
      <name val="Times New Roman"/>
      <family val="1"/>
    </font>
    <font>
      <sz val="10"/>
      <name val="Times New Roman"/>
      <family val="1"/>
    </font>
    <font>
      <sz val="8"/>
      <name val="Times New Roman"/>
      <family val="1"/>
    </font>
    <font>
      <sz val="9"/>
      <name val="Times New Roman"/>
      <family val="1"/>
    </font>
    <font>
      <sz val="10"/>
      <name val="Arial"/>
      <family val="2"/>
    </font>
    <font>
      <sz val="9"/>
      <name val="Times New Roman"/>
      <family val="1"/>
    </font>
    <font>
      <b/>
      <i/>
      <sz val="10"/>
      <color indexed="39"/>
      <name val="Times New Roman"/>
      <family val="1"/>
    </font>
    <font>
      <b/>
      <sz val="8"/>
      <color indexed="39"/>
      <name val="Times New Roman"/>
      <family val="1"/>
    </font>
    <font>
      <sz val="10"/>
      <color indexed="39"/>
      <name val="Times New Roman"/>
      <family val="1"/>
    </font>
    <font>
      <sz val="8"/>
      <color indexed="39"/>
      <name val="Times New Roman"/>
      <family val="1"/>
    </font>
    <font>
      <b/>
      <sz val="10"/>
      <color indexed="10"/>
      <name val="Times New Roman"/>
      <family val="1"/>
    </font>
    <font>
      <sz val="10"/>
      <color indexed="10"/>
      <name val="Times New Roman"/>
      <family val="1"/>
    </font>
    <font>
      <b/>
      <i/>
      <sz val="10"/>
      <color indexed="10"/>
      <name val="Times New Roman"/>
      <family val="1"/>
    </font>
    <font>
      <b/>
      <sz val="8"/>
      <color indexed="10"/>
      <name val="Times New Roman"/>
      <family val="1"/>
    </font>
    <font>
      <sz val="8"/>
      <color indexed="10"/>
      <name val="Times New Roman"/>
      <family val="1"/>
    </font>
    <font>
      <i/>
      <sz val="10"/>
      <name val="Times New Roman"/>
      <family val="1"/>
    </font>
    <font>
      <sz val="10"/>
      <color indexed="10"/>
      <name val="Times New Roman"/>
      <family val="1"/>
    </font>
    <font>
      <sz val="8"/>
      <name val="Arial"/>
      <family val="2"/>
    </font>
    <font>
      <b/>
      <sz val="10"/>
      <name val="Times New Roman"/>
      <family val="1"/>
    </font>
    <font>
      <b/>
      <i/>
      <sz val="10"/>
      <color indexed="17"/>
      <name val="Times New Roman"/>
      <family val="1"/>
    </font>
    <font>
      <b/>
      <sz val="8"/>
      <color indexed="17"/>
      <name val="Times New Roman"/>
      <family val="1"/>
    </font>
    <font>
      <sz val="10"/>
      <color indexed="17"/>
      <name val="Times New Roman"/>
      <family val="1"/>
    </font>
    <font>
      <sz val="8"/>
      <color indexed="17"/>
      <name val="Times New Roman"/>
      <family val="1"/>
    </font>
    <font>
      <sz val="8"/>
      <color indexed="39"/>
      <name val="Times New Roman"/>
      <family val="1"/>
    </font>
    <font>
      <b/>
      <sz val="10"/>
      <name val="MS Sans Serif"/>
      <family val="2"/>
    </font>
    <font>
      <sz val="10"/>
      <name val="Calibri"/>
      <family val="2"/>
    </font>
    <font>
      <sz val="8"/>
      <name val="Calibri"/>
      <family val="2"/>
    </font>
    <font>
      <sz val="8"/>
      <color rgb="FFFF0000"/>
      <name val="Times New Roman"/>
      <family val="1"/>
    </font>
  </fonts>
  <fills count="4">
    <fill>
      <patternFill patternType="none"/>
    </fill>
    <fill>
      <patternFill patternType="gray125"/>
    </fill>
    <fill>
      <patternFill patternType="solid">
        <fgColor indexed="15"/>
      </patternFill>
    </fill>
    <fill>
      <patternFill patternType="solid">
        <fgColor indexed="35"/>
        <bgColor indexed="64"/>
      </patternFill>
    </fill>
  </fills>
  <borders count="1">
    <border>
      <left/>
      <right/>
      <top/>
      <bottom/>
      <diagonal/>
    </border>
  </borders>
  <cellStyleXfs count="1">
    <xf numFmtId="0" fontId="0" fillId="0" borderId="0"/>
  </cellStyleXfs>
  <cellXfs count="100">
    <xf numFmtId="0" fontId="0" fillId="0" borderId="0" xfId="0"/>
    <xf numFmtId="13" fontId="4" fillId="0" borderId="0" xfId="0" applyNumberFormat="1" applyFont="1" applyFill="1" applyBorder="1" applyAlignment="1" applyProtection="1">
      <alignment horizontal="center"/>
    </xf>
    <xf numFmtId="2" fontId="4" fillId="0" borderId="0" xfId="0" applyNumberFormat="1" applyFont="1" applyFill="1" applyBorder="1" applyAlignment="1" applyProtection="1">
      <alignment horizont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4" fillId="0" borderId="0" xfId="0" applyNumberFormat="1" applyFont="1" applyFill="1" applyBorder="1" applyAlignment="1" applyProtection="1"/>
    <xf numFmtId="0" fontId="5" fillId="0" borderId="0" xfId="0" applyNumberFormat="1" applyFont="1" applyFill="1" applyBorder="1" applyAlignment="1" applyProtection="1"/>
    <xf numFmtId="0" fontId="4" fillId="2" borderId="0"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xf>
    <xf numFmtId="0" fontId="4" fillId="2"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5" fillId="2" borderId="0" xfId="0" applyNumberFormat="1" applyFont="1" applyFill="1" applyBorder="1" applyAlignment="1" applyProtection="1"/>
    <xf numFmtId="0" fontId="6" fillId="2" borderId="0" xfId="0" applyNumberFormat="1" applyFont="1" applyFill="1" applyBorder="1" applyAlignment="1" applyProtection="1"/>
    <xf numFmtId="0" fontId="3" fillId="0" borderId="0" xfId="0" applyNumberFormat="1" applyFont="1" applyFill="1" applyBorder="1" applyAlignment="1" applyProtection="1"/>
    <xf numFmtId="0" fontId="6" fillId="2"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center" wrapText="1"/>
    </xf>
    <xf numFmtId="0" fontId="8" fillId="0" borderId="0" xfId="0" applyNumberFormat="1" applyFont="1" applyFill="1" applyBorder="1" applyAlignment="1" applyProtection="1">
      <alignment horizontal="center" wrapText="1"/>
    </xf>
    <xf numFmtId="0" fontId="1"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165" fontId="4" fillId="3" borderId="0" xfId="0" applyNumberFormat="1" applyFont="1" applyFill="1" applyBorder="1" applyAlignment="1" applyProtection="1">
      <alignment horizontal="center"/>
    </xf>
    <xf numFmtId="12" fontId="4"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horizontal="center"/>
    </xf>
    <xf numFmtId="0" fontId="12" fillId="0" borderId="0" xfId="0" applyNumberFormat="1" applyFont="1" applyFill="1" applyBorder="1" applyAlignment="1" applyProtection="1"/>
    <xf numFmtId="0" fontId="13" fillId="0" borderId="0" xfId="0" applyNumberFormat="1" applyFont="1" applyFill="1" applyBorder="1" applyAlignment="1" applyProtection="1"/>
    <xf numFmtId="0" fontId="13"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2" fontId="14" fillId="0" borderId="0" xfId="0" applyNumberFormat="1" applyFont="1" applyFill="1" applyBorder="1" applyAlignment="1" applyProtection="1">
      <alignment horizontal="center"/>
    </xf>
    <xf numFmtId="0" fontId="14" fillId="0" borderId="0" xfId="0" applyNumberFormat="1" applyFont="1" applyFill="1" applyBorder="1" applyAlignment="1" applyProtection="1"/>
    <xf numFmtId="0" fontId="14"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wrapText="1"/>
    </xf>
    <xf numFmtId="0" fontId="16" fillId="0" borderId="0" xfId="0" applyNumberFormat="1" applyFont="1" applyFill="1" applyBorder="1" applyAlignment="1" applyProtection="1"/>
    <xf numFmtId="0" fontId="16" fillId="0" borderId="0" xfId="0" applyNumberFormat="1" applyFont="1" applyFill="1" applyBorder="1" applyAlignment="1" applyProtection="1">
      <alignment horizontal="center"/>
    </xf>
    <xf numFmtId="164" fontId="17" fillId="0" borderId="0" xfId="0" applyNumberFormat="1" applyFont="1" applyFill="1" applyBorder="1" applyAlignment="1" applyProtection="1">
      <alignment horizontal="center"/>
    </xf>
    <xf numFmtId="0" fontId="18" fillId="0" borderId="0" xfId="0" applyNumberFormat="1" applyFont="1" applyFill="1" applyBorder="1" applyAlignment="1" applyProtection="1"/>
    <xf numFmtId="0" fontId="19" fillId="0" borderId="0" xfId="0" applyNumberFormat="1" applyFont="1" applyFill="1" applyBorder="1" applyAlignment="1" applyProtection="1"/>
    <xf numFmtId="0" fontId="19" fillId="0" borderId="0" xfId="0" applyNumberFormat="1" applyFont="1" applyFill="1" applyBorder="1" applyAlignment="1" applyProtection="1">
      <alignment horizontal="center"/>
    </xf>
    <xf numFmtId="164" fontId="20" fillId="0" borderId="0" xfId="0" applyNumberFormat="1" applyFont="1" applyFill="1" applyBorder="1" applyAlignment="1" applyProtection="1">
      <alignment horizontal="center"/>
    </xf>
    <xf numFmtId="1" fontId="17" fillId="0" borderId="0" xfId="0" applyNumberFormat="1" applyFont="1" applyFill="1" applyBorder="1" applyAlignment="1" applyProtection="1">
      <alignment horizontal="center"/>
    </xf>
    <xf numFmtId="0" fontId="19" fillId="0" borderId="0" xfId="0" applyNumberFormat="1" applyFont="1" applyFill="1" applyBorder="1" applyAlignment="1" applyProtection="1">
      <alignment wrapText="1"/>
    </xf>
    <xf numFmtId="2" fontId="20" fillId="0" borderId="0" xfId="0" applyNumberFormat="1" applyFont="1" applyFill="1" applyBorder="1" applyAlignment="1" applyProtection="1">
      <alignment horizontal="center"/>
    </xf>
    <xf numFmtId="2" fontId="17" fillId="0" borderId="0" xfId="0" applyNumberFormat="1" applyFont="1" applyFill="1" applyBorder="1" applyAlignment="1" applyProtection="1">
      <alignment horizontal="center"/>
    </xf>
    <xf numFmtId="164" fontId="14" fillId="0" borderId="0"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1" fillId="0" borderId="0" xfId="0" applyNumberFormat="1" applyFont="1" applyFill="1" applyBorder="1" applyAlignment="1" applyProtection="1">
      <alignment horizontal="left" wrapText="1"/>
    </xf>
    <xf numFmtId="0" fontId="21" fillId="2" borderId="0" xfId="0" applyNumberFormat="1" applyFont="1" applyFill="1" applyBorder="1" applyAlignment="1" applyProtection="1">
      <alignment horizontal="right"/>
    </xf>
    <xf numFmtId="166" fontId="4" fillId="2" borderId="0" xfId="0" applyNumberFormat="1" applyFont="1" applyFill="1" applyBorder="1" applyAlignment="1" applyProtection="1">
      <alignment horizontal="center"/>
    </xf>
    <xf numFmtId="0" fontId="22" fillId="0" borderId="0" xfId="0" applyNumberFormat="1" applyFont="1" applyFill="1" applyBorder="1" applyAlignment="1" applyProtection="1"/>
    <xf numFmtId="0" fontId="22"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wrapText="1"/>
    </xf>
    <xf numFmtId="0" fontId="6" fillId="0" borderId="0" xfId="0" applyNumberFormat="1" applyFont="1" applyFill="1" applyBorder="1" applyAlignment="1" applyProtection="1">
      <alignment horizontal="center" wrapText="1"/>
    </xf>
    <xf numFmtId="166" fontId="7" fillId="2" borderId="0" xfId="0" applyNumberFormat="1" applyFont="1" applyFill="1" applyBorder="1" applyAlignment="1" applyProtection="1">
      <alignment horizontal="center"/>
    </xf>
    <xf numFmtId="0" fontId="11" fillId="0" borderId="0" xfId="0" quotePrefix="1" applyNumberFormat="1" applyFont="1" applyFill="1" applyBorder="1" applyAlignment="1" applyProtection="1">
      <alignment horizontal="center" wrapText="1"/>
    </xf>
    <xf numFmtId="0" fontId="1" fillId="0" borderId="0" xfId="0" quotePrefix="1"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wrapText="1"/>
    </xf>
    <xf numFmtId="0" fontId="11"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xf numFmtId="0" fontId="26" fillId="0" borderId="0" xfId="0" applyNumberFormat="1" applyFont="1" applyFill="1" applyBorder="1" applyAlignment="1" applyProtection="1"/>
    <xf numFmtId="0" fontId="26" fillId="0" borderId="0" xfId="0" applyNumberFormat="1" applyFont="1" applyFill="1" applyBorder="1" applyAlignment="1" applyProtection="1">
      <alignment horizontal="center"/>
    </xf>
    <xf numFmtId="164" fontId="27" fillId="0" borderId="0" xfId="0" applyNumberFormat="1" applyFont="1" applyFill="1" applyBorder="1" applyAlignment="1" applyProtection="1">
      <alignment horizontal="center"/>
    </xf>
    <xf numFmtId="0" fontId="28" fillId="0" borderId="0" xfId="0" applyNumberFormat="1" applyFont="1" applyFill="1" applyBorder="1" applyAlignment="1" applyProtection="1">
      <alignment horizontal="center"/>
    </xf>
    <xf numFmtId="0" fontId="27" fillId="0" borderId="0" xfId="0" applyNumberFormat="1" applyFont="1" applyFill="1" applyBorder="1" applyAlignment="1" applyProtection="1">
      <alignment horizontal="center"/>
    </xf>
    <xf numFmtId="0" fontId="27" fillId="0" borderId="0" xfId="0" applyNumberFormat="1" applyFont="1" applyFill="1" applyBorder="1" applyAlignment="1" applyProtection="1"/>
    <xf numFmtId="0" fontId="26" fillId="0" borderId="0" xfId="0" applyNumberFormat="1" applyFont="1" applyFill="1" applyBorder="1" applyAlignment="1" applyProtection="1">
      <alignment wrapText="1"/>
    </xf>
    <xf numFmtId="1" fontId="27" fillId="0" borderId="0" xfId="0" applyNumberFormat="1" applyFont="1" applyFill="1" applyBorder="1" applyAlignment="1" applyProtection="1">
      <alignment horizontal="center"/>
    </xf>
    <xf numFmtId="2" fontId="27" fillId="0" borderId="0" xfId="0" applyNumberFormat="1" applyFont="1" applyFill="1" applyBorder="1" applyAlignment="1" applyProtection="1">
      <alignment horizontal="center"/>
    </xf>
    <xf numFmtId="1" fontId="26" fillId="0" borderId="0" xfId="0" applyNumberFormat="1" applyFont="1" applyFill="1" applyBorder="1" applyAlignment="1" applyProtection="1">
      <alignment horizontal="center"/>
    </xf>
    <xf numFmtId="1" fontId="28"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wrapText="1"/>
    </xf>
    <xf numFmtId="0" fontId="20" fillId="0" borderId="0"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wrapText="1"/>
    </xf>
    <xf numFmtId="164" fontId="4"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left"/>
    </xf>
    <xf numFmtId="2" fontId="7" fillId="0" borderId="0" xfId="0" applyNumberFormat="1" applyFont="1" applyFill="1" applyBorder="1" applyAlignment="1" applyProtection="1">
      <alignment horizontal="center"/>
    </xf>
    <xf numFmtId="164" fontId="22" fillId="0" borderId="0" xfId="0" applyNumberFormat="1" applyFont="1" applyFill="1" applyBorder="1" applyAlignment="1" applyProtection="1">
      <alignment horizontal="center"/>
    </xf>
    <xf numFmtId="0" fontId="29" fillId="0" borderId="0" xfId="0" applyNumberFormat="1" applyFont="1" applyFill="1" applyBorder="1" applyAlignment="1" applyProtection="1">
      <alignment horizontal="center"/>
    </xf>
    <xf numFmtId="0" fontId="30" fillId="0" borderId="0" xfId="0" applyFont="1"/>
    <xf numFmtId="166" fontId="30" fillId="0" borderId="0" xfId="0" applyNumberFormat="1" applyFont="1"/>
    <xf numFmtId="0" fontId="0" fillId="0" borderId="0" xfId="0" applyAlignment="1">
      <alignment horizontal="center"/>
    </xf>
    <xf numFmtId="0" fontId="30" fillId="0" borderId="0" xfId="0" applyFont="1" applyAlignment="1">
      <alignment horizontal="center"/>
    </xf>
    <xf numFmtId="164" fontId="0" fillId="0" borderId="0" xfId="0" applyNumberFormat="1" applyAlignment="1">
      <alignment horizontal="center"/>
    </xf>
    <xf numFmtId="0" fontId="7" fillId="0" borderId="0" xfId="0" applyNumberFormat="1" applyFont="1" applyFill="1" applyBorder="1" applyAlignment="1" applyProtection="1"/>
    <xf numFmtId="166" fontId="7" fillId="0"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xf>
    <xf numFmtId="17" fontId="1"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33" fillId="0" borderId="0" xfId="0" quotePrefix="1" applyNumberFormat="1"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topLeftCell="Y1" workbookViewId="0">
      <selection activeCell="F14" sqref="F14"/>
    </sheetView>
  </sheetViews>
  <sheetFormatPr defaultRowHeight="12.75" x14ac:dyDescent="0.2"/>
  <cols>
    <col min="1" max="1" width="47.7109375" bestFit="1" customWidth="1"/>
    <col min="2" max="2" width="9" bestFit="1" customWidth="1"/>
    <col min="3" max="3" width="11" customWidth="1"/>
    <col min="4" max="4" width="23.42578125" bestFit="1" customWidth="1"/>
    <col min="5" max="5" width="15" bestFit="1" customWidth="1"/>
    <col min="6" max="6" width="16.42578125" bestFit="1" customWidth="1"/>
    <col min="7" max="7" width="11.85546875" bestFit="1" customWidth="1"/>
    <col min="8" max="8" width="22" bestFit="1" customWidth="1"/>
    <col min="9" max="9" width="15.85546875" bestFit="1" customWidth="1"/>
    <col min="10" max="10" width="14.85546875" bestFit="1" customWidth="1"/>
    <col min="15" max="15" width="17" bestFit="1" customWidth="1"/>
    <col min="19" max="19" width="12.42578125" bestFit="1" customWidth="1"/>
    <col min="22" max="22" width="19.28515625" bestFit="1" customWidth="1"/>
    <col min="23" max="23" width="14.85546875" bestFit="1" customWidth="1"/>
    <col min="24" max="24" width="9.140625" style="87"/>
    <col min="25" max="25" width="15.85546875" style="87" bestFit="1" customWidth="1"/>
    <col min="26" max="26" width="21.140625" style="87" bestFit="1" customWidth="1"/>
    <col min="27" max="27" width="9.140625" style="87"/>
    <col min="28" max="28" width="18.7109375" style="87" bestFit="1" customWidth="1"/>
    <col min="29" max="31" width="9.140625" style="87"/>
    <col min="32" max="32" width="12.85546875" style="87" bestFit="1" customWidth="1"/>
    <col min="33" max="34" width="9.140625" style="87"/>
    <col min="35" max="35" width="18" style="87" bestFit="1" customWidth="1"/>
    <col min="36" max="36" width="14.85546875" style="87" bestFit="1" customWidth="1"/>
    <col min="37" max="37" width="15.7109375" style="87" bestFit="1" customWidth="1"/>
    <col min="38" max="38" width="23.42578125" bestFit="1" customWidth="1"/>
  </cols>
  <sheetData>
    <row r="1" spans="1:38" x14ac:dyDescent="0.2">
      <c r="G1" s="85">
        <f>sail1!E1</f>
        <v>0</v>
      </c>
      <c r="H1" s="86">
        <f>sail1!F1</f>
        <v>0</v>
      </c>
      <c r="I1">
        <f>sail1!H1</f>
        <v>0</v>
      </c>
      <c r="J1">
        <f>sail1!I1</f>
        <v>0</v>
      </c>
      <c r="K1">
        <f>sail1!J1</f>
        <v>0</v>
      </c>
      <c r="L1">
        <f>sail1!K1</f>
        <v>0</v>
      </c>
      <c r="M1">
        <f>sail1!L1</f>
        <v>0</v>
      </c>
      <c r="N1">
        <f>sail1!M1</f>
        <v>0</v>
      </c>
      <c r="O1">
        <f>sail1!N1</f>
        <v>0</v>
      </c>
      <c r="P1">
        <f>sail1!O1</f>
        <v>0</v>
      </c>
      <c r="Q1">
        <f>sail1!P1</f>
        <v>0</v>
      </c>
      <c r="R1">
        <f>sail1!Q1</f>
        <v>0</v>
      </c>
      <c r="S1">
        <f>sail1!R1</f>
        <v>0</v>
      </c>
      <c r="T1">
        <f>sail1!S1</f>
        <v>0</v>
      </c>
      <c r="U1">
        <f>sail1!T1</f>
        <v>0</v>
      </c>
      <c r="V1">
        <f>sail1!U1</f>
        <v>0</v>
      </c>
      <c r="W1">
        <f>sail1!W1</f>
        <v>0</v>
      </c>
      <c r="X1" s="87">
        <f>sail1!Y1</f>
        <v>0</v>
      </c>
      <c r="Y1" s="87">
        <f>sail1!Z1</f>
        <v>0</v>
      </c>
      <c r="Z1" s="87">
        <f>sail1!AB1</f>
        <v>0</v>
      </c>
      <c r="AA1" s="87">
        <f>sail1!AC1</f>
        <v>0</v>
      </c>
      <c r="AB1" s="87">
        <f>sail1!AF1</f>
        <v>0</v>
      </c>
      <c r="AC1" s="87">
        <f>sail1!AG1</f>
        <v>0</v>
      </c>
      <c r="AD1" s="87">
        <f>sail1!AI1</f>
        <v>0</v>
      </c>
      <c r="AE1" s="87">
        <f>sail1!AJ1</f>
        <v>0</v>
      </c>
      <c r="AF1" s="87">
        <f>sail1!AK1</f>
        <v>0</v>
      </c>
      <c r="AG1" s="87">
        <f>sail1!AL1</f>
        <v>0</v>
      </c>
    </row>
    <row r="2" spans="1:38" x14ac:dyDescent="0.2">
      <c r="A2" s="85" t="str">
        <f>sail1!A2</f>
        <v>WINDMILL SAIL PERFORMANCE DATA BASE</v>
      </c>
      <c r="B2" s="85"/>
      <c r="C2" s="85"/>
    </row>
    <row r="4" spans="1:38" s="85" customFormat="1" x14ac:dyDescent="0.2">
      <c r="D4" s="85" t="str">
        <f>sail1!B4</f>
        <v>Code</v>
      </c>
      <c r="E4" s="85">
        <f>sail1!C4</f>
        <v>1</v>
      </c>
      <c r="F4" s="85">
        <f>sail1!D4</f>
        <v>2</v>
      </c>
      <c r="G4" s="85">
        <f>sail1!E4</f>
        <v>3</v>
      </c>
      <c r="H4" s="85">
        <f>sail1!F4</f>
        <v>4</v>
      </c>
      <c r="I4" s="85">
        <f>sail1!H4</f>
        <v>6</v>
      </c>
      <c r="J4" s="85">
        <f>sail1!I4</f>
        <v>7</v>
      </c>
      <c r="K4" s="85">
        <f>sail1!J4</f>
        <v>8</v>
      </c>
      <c r="L4" s="85">
        <f>sail1!K4</f>
        <v>9</v>
      </c>
      <c r="M4" s="85">
        <f>sail1!L4</f>
        <v>10</v>
      </c>
      <c r="N4" s="85">
        <f>sail1!M4</f>
        <v>11</v>
      </c>
      <c r="O4" s="85">
        <f>sail1!N4</f>
        <v>12</v>
      </c>
      <c r="Q4" s="85">
        <f>sail1!P4</f>
        <v>13</v>
      </c>
      <c r="R4" s="85">
        <f>sail1!Q4</f>
        <v>14</v>
      </c>
      <c r="S4" s="85">
        <f>sail1!R4</f>
        <v>15</v>
      </c>
      <c r="T4" s="85">
        <f>sail1!S4</f>
        <v>16</v>
      </c>
      <c r="U4" s="85">
        <f>sail1!T4</f>
        <v>17</v>
      </c>
      <c r="V4" s="85">
        <f>sail1!U4</f>
        <v>18</v>
      </c>
      <c r="W4" s="88">
        <f>sail1!W4</f>
        <v>19</v>
      </c>
      <c r="X4" s="88">
        <f>sail1!Y4</f>
        <v>21</v>
      </c>
      <c r="Y4" s="88">
        <f>sail1!Z4</f>
        <v>22</v>
      </c>
      <c r="Z4" s="88">
        <f>sail1!AB4</f>
        <v>23</v>
      </c>
      <c r="AA4" s="88"/>
      <c r="AB4" s="88">
        <f>sail1!AF4</f>
        <v>25</v>
      </c>
      <c r="AC4" s="88">
        <f>sail1!AG4</f>
        <v>26</v>
      </c>
      <c r="AD4" s="88">
        <f>sail1!AI4</f>
        <v>28</v>
      </c>
      <c r="AE4" s="88">
        <f>sail1!AJ4</f>
        <v>29</v>
      </c>
      <c r="AF4" s="88">
        <f>sail1!AK4</f>
        <v>30</v>
      </c>
      <c r="AG4" s="88">
        <f>sail1!AL4</f>
        <v>31</v>
      </c>
      <c r="AH4" s="88">
        <f>sail1!AM4</f>
        <v>32</v>
      </c>
      <c r="AI4" s="88">
        <f>sail1!AN4</f>
        <v>33</v>
      </c>
      <c r="AJ4" s="88">
        <f>sail1!AO4</f>
        <v>34</v>
      </c>
      <c r="AK4" s="88">
        <f>sail1!AP4</f>
        <v>35</v>
      </c>
    </row>
    <row r="6" spans="1:38" s="85" customFormat="1" x14ac:dyDescent="0.2">
      <c r="D6" s="85" t="str">
        <f>sail1!B6</f>
        <v>Mill</v>
      </c>
      <c r="E6" s="85" t="str">
        <f>sail1!C6</f>
        <v>Barham Down</v>
      </c>
      <c r="F6" s="85" t="str">
        <f>sail1!D6</f>
        <v>Bloxham Grove</v>
      </c>
      <c r="G6" s="85" t="str">
        <f>sail1!E6</f>
        <v>Bolsover</v>
      </c>
      <c r="H6" s="85" t="str">
        <f>sail1!F6</f>
        <v>Boston, Maud Foster</v>
      </c>
      <c r="I6" s="85" t="str">
        <f>sail1!H6</f>
        <v>Brill</v>
      </c>
      <c r="J6" s="85" t="str">
        <f>sail1!I6</f>
        <v>Burwell</v>
      </c>
      <c r="K6" s="85" t="str">
        <f>sail1!J6</f>
        <v>Chillenden</v>
      </c>
      <c r="L6" s="85" t="str">
        <f>sail1!K6</f>
        <v>Chislet</v>
      </c>
      <c r="M6" s="85" t="str">
        <f>sail1!L6</f>
        <v>Cromer</v>
      </c>
      <c r="N6" s="85" t="str">
        <f>sail1!M6</f>
        <v>Coddington</v>
      </c>
      <c r="O6" s="85" t="str">
        <f>sail1!N6</f>
        <v>Great Gransden</v>
      </c>
      <c r="Q6" s="85" t="str">
        <f>sail1!P6</f>
        <v>Harriermere</v>
      </c>
      <c r="R6" s="85" t="str">
        <f>sail1!Q6</f>
        <v>Heage</v>
      </c>
      <c r="S6" s="85" t="str">
        <f>sail1!R6</f>
        <v>Heckington</v>
      </c>
      <c r="T6" s="85" t="str">
        <f>sail1!S6</f>
        <v>Long Clawson</v>
      </c>
      <c r="U6" s="85" t="str">
        <f>sail1!T6</f>
        <v>Margate, Drapers Mill</v>
      </c>
      <c r="V6" s="85" t="str">
        <f>sail1!U6</f>
        <v>Oldland, Keymer</v>
      </c>
      <c r="W6" s="85" t="str">
        <f>sail1!W6</f>
        <v>Over</v>
      </c>
      <c r="X6" s="88" t="str">
        <f>sail1!Y6</f>
        <v>Read</v>
      </c>
      <c r="Y6" s="88" t="str">
        <f>sail1!Z6</f>
        <v>Quainton</v>
      </c>
      <c r="Z6" s="88" t="str">
        <f>sail1!AB6</f>
        <v>Sandwich White Mill</v>
      </c>
      <c r="AA6" s="88"/>
      <c r="AB6" s="88" t="str">
        <f>sail1!AF6</f>
        <v>Soham Downfield</v>
      </c>
      <c r="AC6" s="88" t="str">
        <f>sail1!AG6</f>
        <v>South Normanton</v>
      </c>
      <c r="AD6" s="88" t="str">
        <f>sail1!AI6</f>
        <v>Stelling Minnis</v>
      </c>
      <c r="AE6" s="88" t="str">
        <f>sail1!AJ6</f>
        <v>Stickford</v>
      </c>
      <c r="AF6" s="88" t="str">
        <f>sail1!AK6</f>
        <v>Thelnetham</v>
      </c>
      <c r="AG6" s="88" t="str">
        <f>sail1!AL6</f>
        <v>Upminster</v>
      </c>
      <c r="AH6" s="88" t="str">
        <f>sail1!AM6</f>
        <v>West Wratting</v>
      </c>
      <c r="AI6" s="88" t="str">
        <f>sail1!AN6</f>
        <v>Wicken Corn Mill</v>
      </c>
      <c r="AJ6" s="88" t="str">
        <f>sail1!AO6</f>
        <v>Wicken Fen</v>
      </c>
      <c r="AK6" s="88" t="str">
        <f>sail1!AP6</f>
        <v>Willesborough</v>
      </c>
    </row>
    <row r="7" spans="1:38" x14ac:dyDescent="0.2">
      <c r="D7" t="str">
        <f>sail1!B7</f>
        <v>County</v>
      </c>
      <c r="E7" t="str">
        <f>sail1!C7</f>
        <v>Kent</v>
      </c>
      <c r="F7" t="str">
        <f>sail1!D7</f>
        <v>Oxfordshire</v>
      </c>
      <c r="G7" t="str">
        <f>sail1!E7</f>
        <v>Derbyshire</v>
      </c>
      <c r="H7" t="str">
        <f>sail1!F7</f>
        <v>Lincolnshire</v>
      </c>
      <c r="I7" t="str">
        <f>sail1!H7</f>
        <v>Buckinghamshire</v>
      </c>
      <c r="J7" t="str">
        <f>sail1!I7</f>
        <v>Cambridgeshire</v>
      </c>
      <c r="K7" t="str">
        <f>sail1!J7</f>
        <v>Kent</v>
      </c>
      <c r="L7" t="str">
        <f>sail1!K7</f>
        <v>Kent</v>
      </c>
      <c r="M7" t="str">
        <f>sail1!L7</f>
        <v>Hertfordshire</v>
      </c>
      <c r="N7" t="str">
        <f>sail1!M7</f>
        <v>Nottinghamshire</v>
      </c>
      <c r="O7" t="str">
        <f>sail1!N7</f>
        <v>Cambridgeshire</v>
      </c>
      <c r="Q7" t="str">
        <f>sail1!P7</f>
        <v>Cambridgeshire</v>
      </c>
      <c r="R7" t="str">
        <f>sail1!Q7</f>
        <v>Derbyshire</v>
      </c>
      <c r="S7" t="str">
        <f>sail1!R7</f>
        <v>Lincolnshire</v>
      </c>
      <c r="T7" t="str">
        <f>sail1!S7</f>
        <v>Leicestershire</v>
      </c>
      <c r="U7" t="str">
        <f>sail1!T7</f>
        <v>Kent</v>
      </c>
      <c r="V7" t="str">
        <f>sail1!U7</f>
        <v>W. Sussex</v>
      </c>
      <c r="W7" t="str">
        <f>sail1!W7</f>
        <v>Cambridgeshire</v>
      </c>
      <c r="X7" s="87" t="str">
        <f>sail1!Y7</f>
        <v>Kent</v>
      </c>
      <c r="Y7" s="87" t="str">
        <f>sail1!Z7</f>
        <v>Buckinghamshire</v>
      </c>
      <c r="Z7" s="87" t="str">
        <f>sail1!AB7</f>
        <v>Kent</v>
      </c>
      <c r="AB7" s="87" t="str">
        <f>sail1!AF7</f>
        <v>Cambridgeshire</v>
      </c>
      <c r="AC7" s="87" t="str">
        <f>sail1!AG7</f>
        <v>Derbyshire</v>
      </c>
      <c r="AD7" s="87" t="str">
        <f>sail1!AI7</f>
        <v>Kent</v>
      </c>
      <c r="AE7" s="87" t="str">
        <f>sail1!AJ7</f>
        <v>Lincolnshire</v>
      </c>
      <c r="AF7" s="87" t="str">
        <f>sail1!AK7</f>
        <v>Suffolk</v>
      </c>
      <c r="AG7" s="87" t="str">
        <f>sail1!AL7</f>
        <v>Essex</v>
      </c>
      <c r="AH7" s="87" t="str">
        <f>sail1!AM7</f>
        <v>Cambridgeshire</v>
      </c>
      <c r="AI7" s="87" t="str">
        <f>sail1!AN7</f>
        <v>Cambridgeshire</v>
      </c>
      <c r="AJ7" s="87" t="str">
        <f>sail1!AO7</f>
        <v>Cambridgeshire</v>
      </c>
      <c r="AK7" s="87" t="str">
        <f>sail1!AP7</f>
        <v>Kent</v>
      </c>
    </row>
    <row r="9" spans="1:38" x14ac:dyDescent="0.2">
      <c r="A9" t="s">
        <v>360</v>
      </c>
      <c r="D9" t="s">
        <v>374</v>
      </c>
      <c r="F9" s="87">
        <f>sail1!D13</f>
        <v>7.16</v>
      </c>
      <c r="I9" s="87">
        <f>sail1!H13</f>
        <v>15.44</v>
      </c>
      <c r="J9" s="87">
        <f>sail1!I13</f>
        <v>20.6</v>
      </c>
      <c r="O9" s="87">
        <f>sail1!N13</f>
        <v>15</v>
      </c>
      <c r="S9" s="87">
        <f>sail1!R13</f>
        <v>21.3</v>
      </c>
      <c r="W9" s="87">
        <f>sail1!W13</f>
        <v>18.3</v>
      </c>
      <c r="Y9" s="87">
        <f>sail1!Z13</f>
        <v>20.7</v>
      </c>
      <c r="Z9" s="87">
        <f>sail1!AB13</f>
        <v>20.8</v>
      </c>
      <c r="AF9" s="87">
        <f>sail1!AK13</f>
        <v>19.2</v>
      </c>
      <c r="AI9" s="87">
        <f>sail1!AN13</f>
        <v>19.2</v>
      </c>
      <c r="AL9" t="str">
        <f>D9</f>
        <v>Sail Diameter (m)</v>
      </c>
    </row>
    <row r="10" spans="1:38" x14ac:dyDescent="0.2">
      <c r="A10" t="s">
        <v>375</v>
      </c>
      <c r="B10">
        <v>0.2</v>
      </c>
      <c r="D10" t="s">
        <v>369</v>
      </c>
      <c r="F10" s="87">
        <f>sail1!D56</f>
        <v>0.72</v>
      </c>
      <c r="I10" s="87"/>
      <c r="J10" s="87">
        <f>sail1!I56</f>
        <v>1.22</v>
      </c>
      <c r="O10" s="87">
        <f>sail1!N56</f>
        <v>1.32</v>
      </c>
      <c r="S10" s="87">
        <f>sail1!R56</f>
        <v>1.37</v>
      </c>
      <c r="W10" s="87">
        <f>sail1!W56</f>
        <v>1.32</v>
      </c>
      <c r="Y10" s="87">
        <f>sail1!Z56</f>
        <v>1.37</v>
      </c>
      <c r="Z10" s="87">
        <f>sail1!AB56</f>
        <v>1.37</v>
      </c>
      <c r="AF10" s="87">
        <f>sail1!AK56</f>
        <v>1.37</v>
      </c>
      <c r="AI10" s="87">
        <f>sail1!AN56</f>
        <v>1.37</v>
      </c>
      <c r="AL10" t="str">
        <f t="shared" ref="AL10:AL16" si="0">D10</f>
        <v>Stone diameter (m)</v>
      </c>
    </row>
    <row r="11" spans="1:38" x14ac:dyDescent="0.2">
      <c r="D11" t="s">
        <v>370</v>
      </c>
      <c r="F11" s="89">
        <f>sail1!D39</f>
        <v>29.25</v>
      </c>
      <c r="I11" s="89">
        <f>sail1!H39</f>
        <v>8.575682382133996</v>
      </c>
      <c r="J11" s="89">
        <f>sail1!I39</f>
        <v>11.597142857142856</v>
      </c>
      <c r="O11" s="89">
        <f>sail1!N39</f>
        <v>15.484615384615385</v>
      </c>
      <c r="S11" s="89">
        <f>sail1!R39</f>
        <v>8.2222222222222232</v>
      </c>
      <c r="W11" s="89">
        <f>sail1!W39</f>
        <v>8.3232323232323235</v>
      </c>
      <c r="Y11" s="89">
        <f>sail1!Z39</f>
        <v>8.0850000000000009</v>
      </c>
      <c r="Z11" s="89">
        <f>sail1!AB39</f>
        <v>10.305022831050227</v>
      </c>
      <c r="AF11" s="89">
        <f>sail1!AK39</f>
        <v>6.4957264957264957</v>
      </c>
      <c r="AI11" s="89">
        <f>sail1!AN39</f>
        <v>10.262443438914026</v>
      </c>
      <c r="AL11" t="str">
        <f t="shared" si="0"/>
        <v>Design sail RPM</v>
      </c>
    </row>
    <row r="12" spans="1:38" x14ac:dyDescent="0.2">
      <c r="D12" t="s">
        <v>371</v>
      </c>
      <c r="F12" s="89">
        <f>sail1!D38</f>
        <v>108</v>
      </c>
      <c r="I12" s="89">
        <f>sail1!H38</f>
        <v>80</v>
      </c>
      <c r="J12" s="89">
        <f>sail1!I38</f>
        <v>108.24</v>
      </c>
      <c r="O12" s="89">
        <f>sail1!N38</f>
        <v>73.2</v>
      </c>
      <c r="S12" s="89">
        <f>sail1!R38</f>
        <v>88.800000000000011</v>
      </c>
      <c r="W12" s="89">
        <f>sail1!W38</f>
        <v>82.4</v>
      </c>
      <c r="Y12" s="89">
        <f>sail1!Z38</f>
        <v>86.4</v>
      </c>
      <c r="Z12" s="89">
        <f>sail1!AB38</f>
        <v>86.8</v>
      </c>
      <c r="AF12" s="89">
        <f>sail1!AK38</f>
        <v>80</v>
      </c>
      <c r="AI12" s="89">
        <f>sail1!AN38</f>
        <v>80</v>
      </c>
      <c r="AL12" t="str">
        <f t="shared" si="0"/>
        <v>Design stone speed RPM</v>
      </c>
    </row>
    <row r="13" spans="1:38" x14ac:dyDescent="0.2">
      <c r="D13" t="s">
        <v>376</v>
      </c>
      <c r="F13" s="89">
        <f>PI()/0.3048*F9*F11/88</f>
        <v>24.529637520926926</v>
      </c>
      <c r="I13" s="89"/>
      <c r="J13" s="89"/>
      <c r="O13" s="89"/>
      <c r="S13" s="89"/>
      <c r="W13" s="89"/>
      <c r="Y13" s="89"/>
      <c r="Z13" s="89"/>
      <c r="AF13" s="89"/>
      <c r="AI13" s="89">
        <f>PI()/0.3048*AI9*AI11/88</f>
        <v>23.07832277421122</v>
      </c>
      <c r="AL13" t="str">
        <f t="shared" si="0"/>
        <v>Design Tip Speed  (MPH)</v>
      </c>
    </row>
    <row r="14" spans="1:38" x14ac:dyDescent="0.2">
      <c r="A14" t="s">
        <v>361</v>
      </c>
      <c r="B14">
        <v>1.125</v>
      </c>
      <c r="C14" t="s">
        <v>363</v>
      </c>
      <c r="D14" t="s">
        <v>367</v>
      </c>
      <c r="F14" s="89">
        <f>$B10/8*$B14*PI()*(F9^2)/4*$B15^3/1000</f>
        <v>2.4879320455436349</v>
      </c>
      <c r="I14" s="89">
        <f>$B10/8*$B14*PI()*(I9^2)/4*$B15^3/1000</f>
        <v>11.569299430661323</v>
      </c>
      <c r="J14" s="89">
        <f>$B10/8*$B14*PI()*(J9^2)/4*$B15^3/1000</f>
        <v>20.59429408505698</v>
      </c>
      <c r="O14" s="89">
        <f>$B10/8*$B14*PI()*(O9^2)/4*$B15^3/1000</f>
        <v>10.919304762790601</v>
      </c>
      <c r="S14" s="89">
        <f>$B10/8*$B14*PI()*(S9^2)/4*$B15^3/1000</f>
        <v>22.017686123690972</v>
      </c>
      <c r="W14" s="89">
        <f>$B10/8*$B14*PI()*(W9^2)/4*$B15^3/1000</f>
        <v>16.252293208937534</v>
      </c>
      <c r="Y14" s="89">
        <f>$B10/8*$B14*PI()*(Y9^2)/4*$B15^3/1000</f>
        <v>20.794723990258419</v>
      </c>
      <c r="Z14" s="89">
        <f>$B10/8*$B14*PI()*(Z9^2)/4*$B15^3/1000</f>
        <v>20.996124500327671</v>
      </c>
      <c r="AF14" s="89">
        <f>$B10/8*$B14*PI()*(AF9^2)/4*$B15^3/1000</f>
        <v>17.890188923356124</v>
      </c>
      <c r="AI14" s="89">
        <f>$B10/8*$B14*PI()*(AI9^2)/4*$B15^3/1000</f>
        <v>17.890188923356124</v>
      </c>
      <c r="AL14" t="str">
        <f t="shared" si="0"/>
        <v>Sail Power (kW)</v>
      </c>
    </row>
    <row r="15" spans="1:38" x14ac:dyDescent="0.2">
      <c r="A15" t="s">
        <v>362</v>
      </c>
      <c r="B15">
        <v>13</v>
      </c>
      <c r="C15" t="s">
        <v>364</v>
      </c>
      <c r="Y15"/>
      <c r="Z15"/>
    </row>
    <row r="16" spans="1:38" x14ac:dyDescent="0.2">
      <c r="D16" t="s">
        <v>368</v>
      </c>
      <c r="F16" s="89">
        <f>PI()*F10^4*(F12/30*PI())^2/$B17*$B18</f>
        <v>2.4837760860872367</v>
      </c>
      <c r="I16" s="89"/>
      <c r="J16" s="89">
        <f>PI()*J10^4*(J12/30*PI())^2/$B17*$B18</f>
        <v>20.566000145393989</v>
      </c>
      <c r="O16" s="89">
        <f>PI()*O10^4*(O12/30*PI())^2/$B17*$B18</f>
        <v>12.88999745483696</v>
      </c>
      <c r="S16" s="89">
        <f>PI()*S10^4*(S12/30*PI())^2/$B17*$B18</f>
        <v>22.011170852847506</v>
      </c>
      <c r="W16" s="89">
        <f>PI()*W10^4*(W12/30*PI())^2/$B17*$B18</f>
        <v>16.333719489786539</v>
      </c>
      <c r="Y16" s="89">
        <f>PI()*Y10^4*(Y12/30*PI())^2/$B17*$B18</f>
        <v>20.837456117816188</v>
      </c>
      <c r="Z16" s="89">
        <f>PI()*Z10^4*(Z12/30*PI())^2/$B17*$B18</f>
        <v>21.030842145315635</v>
      </c>
      <c r="AF16" s="89">
        <f>PI()*AF10^4*(AF12/30*PI())^2/$B17*$B18</f>
        <v>17.864760046138702</v>
      </c>
      <c r="AI16" s="89">
        <f>PI()*AI10^4*(AI12/30*PI())^2/$B17*$B18</f>
        <v>17.864760046138702</v>
      </c>
      <c r="AL16" t="str">
        <f t="shared" si="0"/>
        <v>Stone Power (kW)</v>
      </c>
    </row>
    <row r="17" spans="1:3" x14ac:dyDescent="0.2">
      <c r="A17" t="s">
        <v>365</v>
      </c>
      <c r="B17">
        <v>0.1</v>
      </c>
      <c r="C17" t="s">
        <v>366</v>
      </c>
    </row>
    <row r="18" spans="1:3" x14ac:dyDescent="0.2">
      <c r="A18" t="s">
        <v>372</v>
      </c>
      <c r="B18">
        <v>2.3E-3</v>
      </c>
      <c r="C18" t="s">
        <v>373</v>
      </c>
    </row>
  </sheetData>
  <phoneticPr fontId="0" type="noConversion"/>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1"/>
  <sheetViews>
    <sheetView tabSelected="1" topLeftCell="AM1" workbookViewId="0">
      <selection activeCell="AN46" sqref="AN46"/>
    </sheetView>
  </sheetViews>
  <sheetFormatPr defaultColWidth="10" defaultRowHeight="13.5" x14ac:dyDescent="0.25"/>
  <cols>
    <col min="1" max="1" width="13.85546875" style="7" customWidth="1"/>
    <col min="2" max="2" width="25" style="9" bestFit="1" customWidth="1"/>
    <col min="3" max="4" width="20.5703125" style="10" customWidth="1"/>
    <col min="5" max="5" width="22.85546875" style="10" customWidth="1"/>
    <col min="6" max="9" width="20.5703125" style="10" customWidth="1"/>
    <col min="10" max="10" width="20.85546875" style="10" customWidth="1"/>
    <col min="11" max="11" width="21.28515625" style="10" customWidth="1"/>
    <col min="12" max="12" width="18" style="13" customWidth="1"/>
    <col min="13" max="13" width="22.42578125" style="13" customWidth="1"/>
    <col min="14" max="14" width="20.42578125" style="13" customWidth="1"/>
    <col min="15" max="16" width="18" style="13" customWidth="1"/>
    <col min="17" max="17" width="22.42578125" style="13" customWidth="1"/>
    <col min="18" max="18" width="19" style="13" customWidth="1"/>
    <col min="19" max="19" width="23.5703125" style="13" customWidth="1"/>
    <col min="20" max="20" width="20" style="13" customWidth="1"/>
    <col min="21" max="21" width="17" style="13" bestFit="1" customWidth="1"/>
    <col min="22" max="22" width="17" style="13" customWidth="1"/>
    <col min="23" max="24" width="16" style="13" customWidth="1"/>
    <col min="25" max="25" width="19" style="13" bestFit="1" customWidth="1"/>
    <col min="26" max="27" width="16" style="13" customWidth="1"/>
    <col min="28" max="28" width="21" style="13" customWidth="1"/>
    <col min="29" max="29" width="10" style="13" customWidth="1"/>
    <col min="30" max="30" width="13.7109375" style="13" bestFit="1" customWidth="1"/>
    <col min="31" max="31" width="13.7109375" style="13" customWidth="1"/>
    <col min="32" max="32" width="17" style="13" customWidth="1"/>
    <col min="33" max="33" width="22.28515625" style="13" customWidth="1"/>
    <col min="34" max="34" width="19.5703125" style="13" customWidth="1"/>
    <col min="35" max="35" width="19" style="13" customWidth="1"/>
    <col min="36" max="36" width="14.42578125" style="13" customWidth="1"/>
    <col min="37" max="37" width="14" style="13" customWidth="1"/>
    <col min="38" max="38" width="16" style="13" customWidth="1"/>
    <col min="39" max="39" width="21" style="13" customWidth="1"/>
    <col min="40" max="40" width="26.140625" style="13" bestFit="1" customWidth="1"/>
    <col min="41" max="41" width="17" style="13" customWidth="1"/>
    <col min="42" max="42" width="21" style="13" customWidth="1"/>
    <col min="43" max="43" width="22.85546875" style="7" customWidth="1"/>
    <col min="44" max="16384" width="10" style="6"/>
  </cols>
  <sheetData>
    <row r="1" spans="1:44" s="8" customFormat="1" x14ac:dyDescent="0.25">
      <c r="A1" s="14"/>
      <c r="B1" s="15"/>
      <c r="C1" s="17"/>
      <c r="D1" s="17"/>
      <c r="E1" s="58"/>
      <c r="F1" s="58"/>
      <c r="G1" s="58"/>
      <c r="H1" s="58"/>
      <c r="I1" s="58"/>
      <c r="J1" s="52"/>
      <c r="K1" s="52"/>
      <c r="L1" s="11"/>
      <c r="M1" s="11"/>
      <c r="N1" s="11"/>
      <c r="O1" s="11"/>
      <c r="P1" s="11"/>
      <c r="Q1" s="11"/>
      <c r="R1" s="25"/>
      <c r="S1" s="25"/>
      <c r="T1" s="11"/>
      <c r="U1" s="11"/>
      <c r="V1" s="11"/>
      <c r="W1" s="11"/>
      <c r="X1" s="11"/>
      <c r="Y1" s="11"/>
      <c r="Z1" s="11"/>
      <c r="AA1" s="11"/>
      <c r="AB1" s="11"/>
      <c r="AC1" s="11"/>
      <c r="AD1" s="11"/>
      <c r="AE1" s="11"/>
      <c r="AF1" s="11"/>
      <c r="AG1" s="11"/>
      <c r="AH1" s="11"/>
      <c r="AI1" s="11"/>
      <c r="AJ1" s="11"/>
      <c r="AK1" s="11"/>
      <c r="AL1" s="11"/>
      <c r="AM1" s="51"/>
      <c r="AN1" s="52"/>
      <c r="AO1" s="11"/>
      <c r="AP1" s="51" t="s">
        <v>267</v>
      </c>
      <c r="AQ1" s="52">
        <f ca="1">NOW()</f>
        <v>42450.428432407411</v>
      </c>
    </row>
    <row r="2" spans="1:44" s="7" customFormat="1" x14ac:dyDescent="0.25">
      <c r="A2" s="7" t="s">
        <v>222</v>
      </c>
      <c r="C2" s="12"/>
      <c r="D2" s="12" t="s">
        <v>392</v>
      </c>
      <c r="E2" s="91">
        <f ca="1">NOW()</f>
        <v>42450.428432407411</v>
      </c>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4" s="8" customFormat="1" x14ac:dyDescent="0.25">
      <c r="A3" s="14"/>
      <c r="B3" s="15"/>
      <c r="C3" s="17"/>
      <c r="D3" s="17"/>
      <c r="E3" s="17"/>
      <c r="F3" s="17"/>
      <c r="G3" s="17"/>
      <c r="H3" s="17"/>
      <c r="I3" s="17"/>
      <c r="J3" s="17"/>
      <c r="K3" s="17"/>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4"/>
    </row>
    <row r="4" spans="1:44" s="9" customFormat="1" ht="12.75" x14ac:dyDescent="0.2">
      <c r="B4" s="9" t="s">
        <v>0</v>
      </c>
      <c r="C4" s="10">
        <v>1</v>
      </c>
      <c r="D4" s="10">
        <f t="shared" ref="D4:K4" si="0">C4+1</f>
        <v>2</v>
      </c>
      <c r="E4" s="10">
        <f t="shared" si="0"/>
        <v>3</v>
      </c>
      <c r="F4" s="10">
        <f t="shared" si="0"/>
        <v>4</v>
      </c>
      <c r="G4" s="93">
        <f t="shared" si="0"/>
        <v>5</v>
      </c>
      <c r="H4" s="93">
        <f t="shared" si="0"/>
        <v>6</v>
      </c>
      <c r="I4" s="10">
        <f t="shared" si="0"/>
        <v>7</v>
      </c>
      <c r="J4" s="10">
        <f t="shared" si="0"/>
        <v>8</v>
      </c>
      <c r="K4" s="10">
        <f t="shared" si="0"/>
        <v>9</v>
      </c>
      <c r="L4" s="10">
        <f t="shared" ref="L4:X4" si="1">K4+1</f>
        <v>10</v>
      </c>
      <c r="M4" s="10">
        <f t="shared" si="1"/>
        <v>11</v>
      </c>
      <c r="N4" s="10">
        <f t="shared" si="1"/>
        <v>12</v>
      </c>
      <c r="O4" s="10"/>
      <c r="P4" s="10">
        <f>N4+1</f>
        <v>13</v>
      </c>
      <c r="Q4" s="10">
        <f t="shared" si="1"/>
        <v>14</v>
      </c>
      <c r="R4" s="10">
        <f t="shared" si="1"/>
        <v>15</v>
      </c>
      <c r="S4" s="10">
        <f t="shared" si="1"/>
        <v>16</v>
      </c>
      <c r="T4" s="10">
        <f t="shared" si="1"/>
        <v>17</v>
      </c>
      <c r="U4" s="10">
        <f t="shared" si="1"/>
        <v>18</v>
      </c>
      <c r="V4" s="10"/>
      <c r="W4" s="10">
        <f>U4+1</f>
        <v>19</v>
      </c>
      <c r="X4" s="10">
        <f t="shared" si="1"/>
        <v>20</v>
      </c>
      <c r="Y4" s="10">
        <f>X4+1</f>
        <v>21</v>
      </c>
      <c r="Z4" s="10">
        <f>Y4+1</f>
        <v>22</v>
      </c>
      <c r="AA4" s="10"/>
      <c r="AB4" s="10">
        <f>Z4+1</f>
        <v>23</v>
      </c>
      <c r="AC4" s="10"/>
      <c r="AD4" s="10">
        <f>AB4+1</f>
        <v>24</v>
      </c>
      <c r="AE4" s="10"/>
      <c r="AF4" s="10">
        <f>AD4+1</f>
        <v>25</v>
      </c>
      <c r="AG4" s="10">
        <f>AF4+1</f>
        <v>26</v>
      </c>
      <c r="AH4" s="93">
        <f t="shared" ref="AH4:AI4" si="2">AG4+1</f>
        <v>27</v>
      </c>
      <c r="AI4" s="93">
        <f t="shared" si="2"/>
        <v>28</v>
      </c>
      <c r="AJ4" s="10">
        <f t="shared" ref="AJ4:AP4" si="3">AI4+1</f>
        <v>29</v>
      </c>
      <c r="AK4" s="10">
        <f t="shared" si="3"/>
        <v>30</v>
      </c>
      <c r="AL4" s="10">
        <f t="shared" si="3"/>
        <v>31</v>
      </c>
      <c r="AM4" s="10">
        <f t="shared" si="3"/>
        <v>32</v>
      </c>
      <c r="AN4" s="10">
        <f t="shared" si="3"/>
        <v>33</v>
      </c>
      <c r="AO4" s="10">
        <f t="shared" si="3"/>
        <v>34</v>
      </c>
      <c r="AP4" s="10">
        <f t="shared" si="3"/>
        <v>35</v>
      </c>
      <c r="AR4" s="10"/>
    </row>
    <row r="5" spans="1:44" s="8" customFormat="1" x14ac:dyDescent="0.25">
      <c r="A5" s="14"/>
      <c r="B5" s="15"/>
      <c r="C5" s="17"/>
      <c r="D5" s="17"/>
      <c r="E5" s="17"/>
      <c r="F5" s="17"/>
      <c r="G5" s="17"/>
      <c r="H5" s="17"/>
      <c r="I5" s="17"/>
      <c r="J5" s="17"/>
      <c r="K5" s="17"/>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4"/>
    </row>
    <row r="6" spans="1:44" s="9" customFormat="1" ht="12.75" x14ac:dyDescent="0.2">
      <c r="B6" s="9" t="s">
        <v>1</v>
      </c>
      <c r="C6" s="10" t="s">
        <v>237</v>
      </c>
      <c r="D6" s="10" t="s">
        <v>355</v>
      </c>
      <c r="E6" s="10" t="s">
        <v>292</v>
      </c>
      <c r="F6" s="10" t="s">
        <v>320</v>
      </c>
      <c r="G6" s="10" t="s">
        <v>395</v>
      </c>
      <c r="H6" s="10" t="s">
        <v>243</v>
      </c>
      <c r="I6" s="10" t="s">
        <v>287</v>
      </c>
      <c r="J6" s="10" t="s">
        <v>229</v>
      </c>
      <c r="K6" s="10" t="s">
        <v>219</v>
      </c>
      <c r="L6" s="10" t="s">
        <v>2</v>
      </c>
      <c r="M6" s="10" t="s">
        <v>295</v>
      </c>
      <c r="N6" s="10" t="s">
        <v>334</v>
      </c>
      <c r="O6" s="10"/>
      <c r="P6" s="10" t="s">
        <v>277</v>
      </c>
      <c r="Q6" s="10" t="s">
        <v>298</v>
      </c>
      <c r="R6" s="10" t="s">
        <v>3</v>
      </c>
      <c r="S6" s="10" t="s">
        <v>288</v>
      </c>
      <c r="T6" s="57" t="s">
        <v>327</v>
      </c>
      <c r="U6" s="57" t="s">
        <v>393</v>
      </c>
      <c r="V6" s="57" t="s">
        <v>393</v>
      </c>
      <c r="W6" s="10" t="s">
        <v>4</v>
      </c>
      <c r="X6" s="10" t="s">
        <v>349</v>
      </c>
      <c r="Y6" s="10" t="s">
        <v>235</v>
      </c>
      <c r="Z6" s="10" t="s">
        <v>5</v>
      </c>
      <c r="AA6" s="10" t="s">
        <v>5</v>
      </c>
      <c r="AB6" s="57" t="s">
        <v>326</v>
      </c>
      <c r="AC6" s="10"/>
      <c r="AD6" s="10" t="s">
        <v>377</v>
      </c>
      <c r="AE6" s="10"/>
      <c r="AF6" s="10" t="s">
        <v>273</v>
      </c>
      <c r="AG6" s="10" t="s">
        <v>299</v>
      </c>
      <c r="AH6" s="10" t="s">
        <v>402</v>
      </c>
      <c r="AI6" s="10" t="s">
        <v>272</v>
      </c>
      <c r="AJ6" s="10" t="s">
        <v>253</v>
      </c>
      <c r="AK6" s="10" t="s">
        <v>6</v>
      </c>
      <c r="AL6" s="10" t="s">
        <v>7</v>
      </c>
      <c r="AM6" s="10" t="s">
        <v>8</v>
      </c>
      <c r="AN6" s="57" t="s">
        <v>325</v>
      </c>
      <c r="AO6" s="10" t="s">
        <v>9</v>
      </c>
      <c r="AP6" s="10" t="s">
        <v>10</v>
      </c>
    </row>
    <row r="7" spans="1:44" x14ac:dyDescent="0.25">
      <c r="B7" s="9" t="s">
        <v>11</v>
      </c>
      <c r="C7" s="19" t="s">
        <v>14</v>
      </c>
      <c r="D7" s="19" t="s">
        <v>356</v>
      </c>
      <c r="E7" s="19" t="s">
        <v>293</v>
      </c>
      <c r="F7" s="19" t="s">
        <v>13</v>
      </c>
      <c r="G7" s="19"/>
      <c r="H7" s="19" t="s">
        <v>16</v>
      </c>
      <c r="I7" s="19" t="s">
        <v>15</v>
      </c>
      <c r="J7" s="19" t="s">
        <v>14</v>
      </c>
      <c r="K7" s="19" t="s">
        <v>14</v>
      </c>
      <c r="L7" s="13" t="s">
        <v>12</v>
      </c>
      <c r="M7" s="13" t="s">
        <v>296</v>
      </c>
      <c r="N7" s="13" t="s">
        <v>15</v>
      </c>
      <c r="P7" s="13" t="s">
        <v>15</v>
      </c>
      <c r="Q7" s="13" t="s">
        <v>293</v>
      </c>
      <c r="R7" s="13" t="s">
        <v>13</v>
      </c>
      <c r="S7" s="13" t="s">
        <v>289</v>
      </c>
      <c r="T7" s="13" t="s">
        <v>14</v>
      </c>
      <c r="U7" s="13" t="s">
        <v>394</v>
      </c>
      <c r="V7" s="13" t="s">
        <v>394</v>
      </c>
      <c r="W7" s="13" t="s">
        <v>15</v>
      </c>
      <c r="X7" s="13" t="s">
        <v>350</v>
      </c>
      <c r="Y7" s="13" t="s">
        <v>14</v>
      </c>
      <c r="Z7" s="13" t="s">
        <v>16</v>
      </c>
      <c r="AB7" s="13" t="s">
        <v>14</v>
      </c>
      <c r="AD7" s="13" t="s">
        <v>15</v>
      </c>
      <c r="AF7" s="13" t="s">
        <v>15</v>
      </c>
      <c r="AG7" s="13" t="s">
        <v>293</v>
      </c>
      <c r="AH7" s="13" t="s">
        <v>403</v>
      </c>
      <c r="AI7" s="13" t="s">
        <v>14</v>
      </c>
      <c r="AJ7" s="13" t="s">
        <v>13</v>
      </c>
      <c r="AK7" s="13" t="s">
        <v>17</v>
      </c>
      <c r="AL7" s="13" t="s">
        <v>18</v>
      </c>
      <c r="AM7" s="13" t="s">
        <v>15</v>
      </c>
      <c r="AN7" s="13" t="s">
        <v>15</v>
      </c>
      <c r="AO7" s="13" t="s">
        <v>15</v>
      </c>
      <c r="AP7" s="13" t="s">
        <v>14</v>
      </c>
    </row>
    <row r="8" spans="1:44" s="8" customFormat="1" x14ac:dyDescent="0.25">
      <c r="A8" s="14"/>
      <c r="B8" s="15"/>
      <c r="C8" s="17"/>
      <c r="D8" s="17"/>
      <c r="E8" s="17"/>
      <c r="F8" s="17"/>
      <c r="G8" s="17"/>
      <c r="H8" s="17"/>
      <c r="I8" s="17"/>
      <c r="J8" s="17"/>
      <c r="K8" s="17"/>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4"/>
    </row>
    <row r="9" spans="1:44" x14ac:dyDescent="0.25">
      <c r="A9" s="7" t="s">
        <v>19</v>
      </c>
      <c r="B9" s="9" t="s">
        <v>20</v>
      </c>
      <c r="C9" s="19">
        <v>4</v>
      </c>
      <c r="D9" s="19">
        <v>4</v>
      </c>
      <c r="E9" s="19"/>
      <c r="F9" s="19">
        <v>5</v>
      </c>
      <c r="G9" s="19">
        <v>4</v>
      </c>
      <c r="H9" s="19">
        <v>4</v>
      </c>
      <c r="I9" s="19">
        <v>4</v>
      </c>
      <c r="J9" s="19">
        <v>4</v>
      </c>
      <c r="K9" s="19">
        <v>4</v>
      </c>
      <c r="L9" s="13">
        <v>4</v>
      </c>
      <c r="M9" s="13">
        <v>4</v>
      </c>
      <c r="N9" s="13">
        <v>4</v>
      </c>
      <c r="P9" s="13">
        <v>4</v>
      </c>
      <c r="Q9" s="13">
        <v>6</v>
      </c>
      <c r="R9" s="13">
        <v>8</v>
      </c>
      <c r="T9" s="13">
        <v>4</v>
      </c>
      <c r="U9" s="95">
        <v>4</v>
      </c>
      <c r="V9" s="95"/>
      <c r="W9" s="13">
        <v>4</v>
      </c>
      <c r="X9" s="13">
        <v>4</v>
      </c>
      <c r="Y9" s="13">
        <v>4</v>
      </c>
      <c r="Z9" s="13">
        <v>4</v>
      </c>
      <c r="AB9" s="13">
        <v>4</v>
      </c>
      <c r="AD9" s="13">
        <v>4</v>
      </c>
      <c r="AF9" s="13">
        <v>4</v>
      </c>
      <c r="AH9" s="13">
        <v>4</v>
      </c>
      <c r="AI9" s="13">
        <v>4</v>
      </c>
      <c r="AJ9" s="13">
        <v>4</v>
      </c>
      <c r="AK9" s="13">
        <v>4</v>
      </c>
      <c r="AL9" s="13">
        <v>4</v>
      </c>
      <c r="AM9" s="13">
        <v>4</v>
      </c>
      <c r="AN9" s="13">
        <v>4</v>
      </c>
      <c r="AO9" s="13">
        <v>4</v>
      </c>
      <c r="AP9" s="13">
        <v>4</v>
      </c>
      <c r="AQ9" s="7" t="s">
        <v>19</v>
      </c>
    </row>
    <row r="10" spans="1:44" x14ac:dyDescent="0.25">
      <c r="B10" s="9" t="s">
        <v>21</v>
      </c>
      <c r="C10" s="19" t="s">
        <v>24</v>
      </c>
      <c r="D10" s="19" t="s">
        <v>244</v>
      </c>
      <c r="E10" s="19"/>
      <c r="F10" s="19" t="s">
        <v>24</v>
      </c>
      <c r="G10" s="13" t="s">
        <v>396</v>
      </c>
      <c r="H10" s="19" t="s">
        <v>244</v>
      </c>
      <c r="I10" s="19" t="s">
        <v>24</v>
      </c>
      <c r="J10" s="19" t="s">
        <v>25</v>
      </c>
      <c r="K10" s="19" t="s">
        <v>25</v>
      </c>
      <c r="L10" s="4" t="s">
        <v>22</v>
      </c>
      <c r="M10" s="13" t="s">
        <v>24</v>
      </c>
      <c r="N10" s="13" t="s">
        <v>335</v>
      </c>
      <c r="P10" s="13" t="s">
        <v>244</v>
      </c>
      <c r="Q10" s="13" t="s">
        <v>24</v>
      </c>
      <c r="R10" s="13" t="s">
        <v>23</v>
      </c>
      <c r="T10" s="13" t="s">
        <v>24</v>
      </c>
      <c r="U10" s="95" t="s">
        <v>25</v>
      </c>
      <c r="V10" s="95"/>
      <c r="W10" s="13" t="s">
        <v>24</v>
      </c>
      <c r="X10" s="13" t="s">
        <v>244</v>
      </c>
      <c r="Y10" s="13" t="s">
        <v>24</v>
      </c>
      <c r="Z10" s="13" t="s">
        <v>24</v>
      </c>
      <c r="AB10" s="13" t="s">
        <v>25</v>
      </c>
      <c r="AD10" s="13" t="s">
        <v>378</v>
      </c>
      <c r="AE10" s="13" t="s">
        <v>379</v>
      </c>
      <c r="AF10" s="13" t="s">
        <v>24</v>
      </c>
      <c r="AH10" s="13" t="s">
        <v>24</v>
      </c>
      <c r="AI10" s="13" t="s">
        <v>24</v>
      </c>
      <c r="AJ10" s="13" t="s">
        <v>24</v>
      </c>
      <c r="AK10" s="13" t="s">
        <v>24</v>
      </c>
      <c r="AL10" s="13" t="s">
        <v>24</v>
      </c>
      <c r="AM10" s="4" t="s">
        <v>26</v>
      </c>
      <c r="AN10" s="13" t="s">
        <v>24</v>
      </c>
      <c r="AO10" s="13" t="s">
        <v>27</v>
      </c>
      <c r="AP10" s="13" t="s">
        <v>24</v>
      </c>
    </row>
    <row r="11" spans="1:44" x14ac:dyDescent="0.25">
      <c r="B11" s="9" t="s">
        <v>28</v>
      </c>
      <c r="C11" s="19"/>
      <c r="D11" s="19" t="s">
        <v>29</v>
      </c>
      <c r="E11" s="19"/>
      <c r="F11" s="19" t="s">
        <v>29</v>
      </c>
      <c r="G11" s="13" t="s">
        <v>30</v>
      </c>
      <c r="H11" s="19" t="s">
        <v>29</v>
      </c>
      <c r="I11" s="19" t="s">
        <v>30</v>
      </c>
      <c r="J11" s="19" t="s">
        <v>29</v>
      </c>
      <c r="K11" s="19" t="s">
        <v>29</v>
      </c>
      <c r="L11" s="13" t="s">
        <v>29</v>
      </c>
      <c r="M11" s="13" t="s">
        <v>29</v>
      </c>
      <c r="N11" s="13" t="s">
        <v>30</v>
      </c>
      <c r="P11" s="13" t="s">
        <v>30</v>
      </c>
      <c r="Q11" s="13" t="s">
        <v>29</v>
      </c>
      <c r="R11" s="13" t="s">
        <v>29</v>
      </c>
      <c r="T11" s="13" t="s">
        <v>29</v>
      </c>
      <c r="U11" s="95" t="s">
        <v>29</v>
      </c>
      <c r="V11" s="95"/>
      <c r="W11" s="13" t="s">
        <v>30</v>
      </c>
      <c r="X11" s="13" t="s">
        <v>29</v>
      </c>
      <c r="Y11" s="13" t="s">
        <v>29</v>
      </c>
      <c r="Z11" s="13" t="s">
        <v>29</v>
      </c>
      <c r="AB11" s="13" t="s">
        <v>29</v>
      </c>
      <c r="AD11" s="13" t="s">
        <v>30</v>
      </c>
      <c r="AF11" s="13" t="s">
        <v>30</v>
      </c>
      <c r="AH11" s="13" t="s">
        <v>29</v>
      </c>
      <c r="AI11" s="13" t="s">
        <v>29</v>
      </c>
      <c r="AJ11" s="13" t="s">
        <v>29</v>
      </c>
      <c r="AK11" s="13" t="s">
        <v>29</v>
      </c>
      <c r="AL11" s="13" t="s">
        <v>29</v>
      </c>
      <c r="AN11" s="13" t="s">
        <v>30</v>
      </c>
      <c r="AO11" s="13" t="s">
        <v>30</v>
      </c>
      <c r="AP11" s="13" t="s">
        <v>29</v>
      </c>
    </row>
    <row r="12" spans="1:44" ht="25.5" customHeight="1" x14ac:dyDescent="0.25">
      <c r="B12" s="9" t="s">
        <v>31</v>
      </c>
      <c r="C12" s="19" t="s">
        <v>238</v>
      </c>
      <c r="D12" s="19" t="s">
        <v>357</v>
      </c>
      <c r="E12" s="19"/>
      <c r="F12" s="19" t="s">
        <v>331</v>
      </c>
      <c r="G12" s="19"/>
      <c r="H12" s="21" t="s">
        <v>247</v>
      </c>
      <c r="I12" s="21" t="s">
        <v>301</v>
      </c>
      <c r="J12" s="24" t="s">
        <v>230</v>
      </c>
      <c r="K12" s="19" t="s">
        <v>220</v>
      </c>
      <c r="L12" s="13" t="s">
        <v>32</v>
      </c>
      <c r="N12" s="13" t="s">
        <v>383</v>
      </c>
      <c r="P12" s="13" t="s">
        <v>278</v>
      </c>
      <c r="R12" s="13" t="s">
        <v>33</v>
      </c>
      <c r="T12" s="13" t="s">
        <v>34</v>
      </c>
      <c r="U12" s="95" t="s">
        <v>380</v>
      </c>
      <c r="V12" s="95"/>
      <c r="W12" s="13" t="s">
        <v>35</v>
      </c>
      <c r="X12" s="13" t="s">
        <v>351</v>
      </c>
      <c r="Y12" s="24" t="s">
        <v>241</v>
      </c>
      <c r="Z12" s="13" t="s">
        <v>36</v>
      </c>
      <c r="AB12" s="13" t="s">
        <v>37</v>
      </c>
      <c r="AD12" s="13" t="s">
        <v>380</v>
      </c>
      <c r="AF12" s="13" t="s">
        <v>38</v>
      </c>
      <c r="AH12" s="13" t="s">
        <v>415</v>
      </c>
      <c r="AI12" s="13" t="s">
        <v>39</v>
      </c>
      <c r="AJ12" s="13" t="s">
        <v>254</v>
      </c>
      <c r="AK12" s="13" t="s">
        <v>40</v>
      </c>
      <c r="AL12" s="13" t="s">
        <v>33</v>
      </c>
      <c r="AM12" s="13" t="s">
        <v>41</v>
      </c>
      <c r="AN12" s="13" t="s">
        <v>40</v>
      </c>
      <c r="AO12" s="13" t="s">
        <v>42</v>
      </c>
      <c r="AP12" s="13" t="s">
        <v>43</v>
      </c>
      <c r="AQ12" s="7" t="s">
        <v>31</v>
      </c>
    </row>
    <row r="13" spans="1:44" ht="12.75" customHeight="1" x14ac:dyDescent="0.25">
      <c r="B13" s="9" t="s">
        <v>252</v>
      </c>
      <c r="C13" s="82">
        <v>22.3</v>
      </c>
      <c r="D13" s="19">
        <v>7.16</v>
      </c>
      <c r="E13" s="19"/>
      <c r="F13" s="19">
        <v>22.38</v>
      </c>
      <c r="G13" s="19"/>
      <c r="H13" s="21">
        <v>15.44</v>
      </c>
      <c r="I13" s="21">
        <v>20.6</v>
      </c>
      <c r="J13" s="24">
        <v>17.5</v>
      </c>
      <c r="K13" s="19">
        <v>20.68</v>
      </c>
      <c r="L13" s="13">
        <v>17.07</v>
      </c>
      <c r="N13" s="80">
        <v>15</v>
      </c>
      <c r="P13" s="80">
        <v>25</v>
      </c>
      <c r="R13" s="13">
        <v>21.3</v>
      </c>
      <c r="T13" s="13">
        <v>65.8</v>
      </c>
      <c r="U13" s="80">
        <v>17.6784</v>
      </c>
      <c r="V13" s="80"/>
      <c r="W13" s="13">
        <v>18.3</v>
      </c>
      <c r="X13" s="13">
        <v>16.5</v>
      </c>
      <c r="Y13" s="24">
        <v>22.1</v>
      </c>
      <c r="Z13" s="13">
        <v>20.7</v>
      </c>
      <c r="AB13" s="13">
        <v>20.8</v>
      </c>
      <c r="AD13" s="13">
        <v>17.7</v>
      </c>
      <c r="AF13" s="13">
        <v>19.8</v>
      </c>
      <c r="AH13" s="13">
        <v>19.2</v>
      </c>
      <c r="AI13" s="13">
        <v>17.3</v>
      </c>
      <c r="AJ13" s="13">
        <v>18.5</v>
      </c>
      <c r="AK13" s="13">
        <v>19.2</v>
      </c>
      <c r="AL13" s="13">
        <v>21.3</v>
      </c>
      <c r="AM13" s="13">
        <v>17.100000000000001</v>
      </c>
      <c r="AN13" s="13">
        <v>19.2</v>
      </c>
      <c r="AO13" s="13">
        <v>9.14</v>
      </c>
      <c r="AP13" s="13">
        <v>21.9</v>
      </c>
      <c r="AQ13" s="7" t="s">
        <v>252</v>
      </c>
    </row>
    <row r="14" spans="1:44" x14ac:dyDescent="0.25">
      <c r="B14" s="9" t="s">
        <v>44</v>
      </c>
      <c r="C14" s="19"/>
      <c r="D14" s="19" t="s">
        <v>358</v>
      </c>
      <c r="E14" s="19"/>
      <c r="F14" s="19"/>
      <c r="G14" s="19"/>
      <c r="H14" s="19"/>
      <c r="I14" s="19" t="s">
        <v>302</v>
      </c>
      <c r="J14" s="19" t="s">
        <v>231</v>
      </c>
      <c r="K14" s="13" t="s">
        <v>154</v>
      </c>
      <c r="L14" s="13" t="s">
        <v>45</v>
      </c>
      <c r="N14" s="13" t="s">
        <v>50</v>
      </c>
      <c r="P14" s="13" t="s">
        <v>64</v>
      </c>
      <c r="R14" s="13" t="s">
        <v>46</v>
      </c>
      <c r="T14" s="13" t="s">
        <v>47</v>
      </c>
      <c r="U14" s="95" t="s">
        <v>406</v>
      </c>
      <c r="V14" s="95"/>
      <c r="W14" s="13" t="s">
        <v>48</v>
      </c>
      <c r="X14" s="13" t="s">
        <v>352</v>
      </c>
      <c r="Z14" s="13" t="s">
        <v>49</v>
      </c>
      <c r="AA14" s="19" t="s">
        <v>390</v>
      </c>
      <c r="AB14" s="13" t="s">
        <v>50</v>
      </c>
      <c r="AD14" s="13" t="s">
        <v>64</v>
      </c>
      <c r="AF14" s="13" t="s">
        <v>51</v>
      </c>
      <c r="AH14" s="13" t="s">
        <v>45</v>
      </c>
      <c r="AI14" s="13" t="s">
        <v>52</v>
      </c>
      <c r="AK14" s="13" t="s">
        <v>53</v>
      </c>
      <c r="AL14" s="13" t="s">
        <v>54</v>
      </c>
      <c r="AN14" s="13" t="s">
        <v>55</v>
      </c>
      <c r="AO14" s="13" t="s">
        <v>56</v>
      </c>
      <c r="AP14" s="13" t="s">
        <v>57</v>
      </c>
    </row>
    <row r="15" spans="1:44" x14ac:dyDescent="0.25">
      <c r="B15" s="5" t="s">
        <v>58</v>
      </c>
      <c r="C15" s="20"/>
      <c r="D15" s="20"/>
      <c r="E15" s="20"/>
      <c r="F15" s="20"/>
      <c r="G15" s="20"/>
      <c r="H15" s="20"/>
      <c r="I15" s="19" t="s">
        <v>304</v>
      </c>
      <c r="J15" s="20"/>
      <c r="K15" s="20"/>
      <c r="L15" s="13" t="s">
        <v>59</v>
      </c>
      <c r="R15" s="13" t="s">
        <v>46</v>
      </c>
      <c r="T15" s="13" t="s">
        <v>60</v>
      </c>
      <c r="U15" s="95" t="s">
        <v>51</v>
      </c>
      <c r="V15" s="95"/>
      <c r="W15" s="13" t="s">
        <v>61</v>
      </c>
      <c r="AA15" s="19" t="s">
        <v>389</v>
      </c>
      <c r="AB15" s="13" t="s">
        <v>62</v>
      </c>
      <c r="AD15" s="13" t="s">
        <v>56</v>
      </c>
      <c r="AF15" s="13" t="s">
        <v>57</v>
      </c>
      <c r="AH15" s="13" t="s">
        <v>416</v>
      </c>
      <c r="AI15" s="13" t="s">
        <v>63</v>
      </c>
      <c r="AJ15" s="13" t="s">
        <v>255</v>
      </c>
      <c r="AL15" s="13" t="s">
        <v>64</v>
      </c>
      <c r="AM15" s="13" t="s">
        <v>65</v>
      </c>
      <c r="AN15" s="13" t="s">
        <v>66</v>
      </c>
      <c r="AO15" s="13" t="s">
        <v>67</v>
      </c>
      <c r="AP15" s="13" t="s">
        <v>68</v>
      </c>
    </row>
    <row r="16" spans="1:44" x14ac:dyDescent="0.25">
      <c r="A16" s="7" t="s">
        <v>69</v>
      </c>
      <c r="B16" s="9" t="s">
        <v>70</v>
      </c>
      <c r="C16" s="19">
        <v>7.1</v>
      </c>
      <c r="D16" s="19">
        <v>3.7</v>
      </c>
      <c r="E16" s="19"/>
      <c r="F16" s="19"/>
      <c r="G16" s="19"/>
      <c r="H16" s="19">
        <v>2</v>
      </c>
      <c r="I16" s="19">
        <v>12.5</v>
      </c>
      <c r="J16" s="19">
        <v>2.4</v>
      </c>
      <c r="K16" s="19">
        <v>8.9</v>
      </c>
      <c r="R16" s="13" t="s">
        <v>71</v>
      </c>
      <c r="T16" s="13">
        <v>9</v>
      </c>
      <c r="U16" s="95">
        <v>5</v>
      </c>
      <c r="V16" s="95"/>
      <c r="W16" s="13">
        <v>15</v>
      </c>
      <c r="Z16" s="13">
        <v>6</v>
      </c>
      <c r="AA16" s="13">
        <v>3</v>
      </c>
      <c r="AB16" s="13">
        <v>10.5</v>
      </c>
      <c r="AD16" s="13">
        <v>12.5</v>
      </c>
      <c r="AH16" s="13">
        <v>12</v>
      </c>
      <c r="AI16" s="13">
        <v>6</v>
      </c>
      <c r="AJ16" s="13">
        <v>10</v>
      </c>
      <c r="AK16" s="13">
        <v>15</v>
      </c>
      <c r="AL16" s="13">
        <v>3.5</v>
      </c>
      <c r="AN16" s="13">
        <v>15</v>
      </c>
      <c r="AO16" s="13">
        <v>-2</v>
      </c>
      <c r="AP16" s="13">
        <v>11</v>
      </c>
      <c r="AQ16" s="7" t="s">
        <v>69</v>
      </c>
    </row>
    <row r="17" spans="1:43" x14ac:dyDescent="0.25">
      <c r="B17" s="9" t="s">
        <v>72</v>
      </c>
      <c r="C17" s="19">
        <v>23.4</v>
      </c>
      <c r="D17" s="19">
        <v>16.399999999999999</v>
      </c>
      <c r="E17" s="19"/>
      <c r="F17" s="19"/>
      <c r="G17" s="19"/>
      <c r="H17" s="19">
        <v>22</v>
      </c>
      <c r="I17" s="19">
        <v>26</v>
      </c>
      <c r="J17" s="19"/>
      <c r="K17" s="19">
        <v>21.4</v>
      </c>
      <c r="R17" s="13" t="s">
        <v>73</v>
      </c>
      <c r="T17" s="13">
        <v>19</v>
      </c>
      <c r="U17" s="95">
        <v>18</v>
      </c>
      <c r="V17" s="95"/>
      <c r="W17" s="13">
        <v>26</v>
      </c>
      <c r="Y17" s="13">
        <v>22.3</v>
      </c>
      <c r="Z17" s="13">
        <v>15</v>
      </c>
      <c r="AA17" s="13">
        <v>17</v>
      </c>
      <c r="AB17" s="13" t="s">
        <v>74</v>
      </c>
      <c r="AD17" s="13">
        <v>24.5</v>
      </c>
      <c r="AH17" s="13">
        <v>27</v>
      </c>
      <c r="AI17" s="13">
        <v>26</v>
      </c>
      <c r="AJ17" s="13">
        <v>22</v>
      </c>
      <c r="AK17" s="13">
        <v>26</v>
      </c>
      <c r="AL17" s="13">
        <v>22</v>
      </c>
      <c r="AN17" s="13">
        <v>26</v>
      </c>
      <c r="AO17" s="13">
        <v>28</v>
      </c>
      <c r="AP17" s="13">
        <v>22</v>
      </c>
    </row>
    <row r="18" spans="1:43" x14ac:dyDescent="0.25">
      <c r="A18" s="7" t="s">
        <v>75</v>
      </c>
      <c r="B18" s="9" t="s">
        <v>76</v>
      </c>
      <c r="C18" s="19">
        <v>14</v>
      </c>
      <c r="D18" s="19">
        <v>8</v>
      </c>
      <c r="E18" s="19"/>
      <c r="F18" s="19">
        <v>8</v>
      </c>
      <c r="G18" s="19"/>
      <c r="H18" s="19" t="s">
        <v>248</v>
      </c>
      <c r="I18" s="19">
        <v>8</v>
      </c>
      <c r="J18" s="19"/>
      <c r="K18" s="19">
        <v>10</v>
      </c>
      <c r="L18" s="13" t="s">
        <v>77</v>
      </c>
      <c r="N18" s="13" t="s">
        <v>336</v>
      </c>
      <c r="P18" s="34">
        <v>25</v>
      </c>
      <c r="R18" s="13">
        <v>8</v>
      </c>
      <c r="T18" s="13" t="s">
        <v>78</v>
      </c>
      <c r="U18" s="95">
        <v>11</v>
      </c>
      <c r="V18" s="95"/>
      <c r="W18" s="13">
        <v>8</v>
      </c>
      <c r="X18" s="13">
        <v>16</v>
      </c>
      <c r="Y18" s="13">
        <v>11</v>
      </c>
      <c r="Z18" s="13">
        <v>7</v>
      </c>
      <c r="AB18" s="13">
        <v>10</v>
      </c>
      <c r="AD18" s="13">
        <v>9</v>
      </c>
      <c r="AF18" s="13">
        <v>9</v>
      </c>
      <c r="AH18" s="13">
        <v>8</v>
      </c>
      <c r="AI18" s="13">
        <v>9</v>
      </c>
      <c r="AJ18" s="13">
        <v>7</v>
      </c>
      <c r="AK18" s="13">
        <v>8</v>
      </c>
      <c r="AN18" s="13">
        <v>9</v>
      </c>
      <c r="AP18" s="13">
        <v>12</v>
      </c>
      <c r="AQ18" s="7" t="s">
        <v>75</v>
      </c>
    </row>
    <row r="19" spans="1:43" x14ac:dyDescent="0.25">
      <c r="C19" s="19"/>
      <c r="D19" s="19"/>
      <c r="E19" s="19"/>
      <c r="F19" s="19"/>
      <c r="G19" s="19"/>
      <c r="H19" s="19"/>
      <c r="I19" s="19"/>
      <c r="J19" s="19"/>
      <c r="K19" s="19"/>
      <c r="L19" s="13" t="s">
        <v>79</v>
      </c>
      <c r="T19" s="13" t="s">
        <v>80</v>
      </c>
      <c r="U19" s="95"/>
      <c r="V19" s="95"/>
    </row>
    <row r="20" spans="1:43" x14ac:dyDescent="0.25">
      <c r="B20" s="9" t="s">
        <v>81</v>
      </c>
      <c r="C20" s="13" t="s">
        <v>239</v>
      </c>
      <c r="D20" s="13"/>
      <c r="E20" s="13"/>
      <c r="F20" s="4" t="s">
        <v>323</v>
      </c>
      <c r="G20" s="4"/>
      <c r="H20" s="13"/>
      <c r="I20" s="13"/>
      <c r="J20" s="19"/>
      <c r="K20" s="13" t="s">
        <v>223</v>
      </c>
      <c r="L20" s="4" t="s">
        <v>82</v>
      </c>
      <c r="M20" s="4"/>
      <c r="N20" s="4" t="s">
        <v>84</v>
      </c>
      <c r="O20" s="4"/>
      <c r="P20" s="4"/>
      <c r="Q20" s="4"/>
      <c r="U20" s="95" t="s">
        <v>407</v>
      </c>
      <c r="V20" s="95"/>
      <c r="AD20" s="13" t="s">
        <v>381</v>
      </c>
      <c r="AH20" s="13" t="s">
        <v>146</v>
      </c>
      <c r="AI20" s="13" t="s">
        <v>83</v>
      </c>
      <c r="AJ20" s="13" t="s">
        <v>256</v>
      </c>
      <c r="AN20" s="13" t="s">
        <v>84</v>
      </c>
      <c r="AP20" s="13" t="s">
        <v>85</v>
      </c>
    </row>
    <row r="21" spans="1:43" x14ac:dyDescent="0.25">
      <c r="A21" s="7" t="s">
        <v>86</v>
      </c>
      <c r="B21" s="9" t="s">
        <v>87</v>
      </c>
      <c r="C21" s="19"/>
      <c r="D21" s="19"/>
      <c r="E21" s="19"/>
      <c r="F21" s="19">
        <v>110</v>
      </c>
      <c r="G21" s="19"/>
      <c r="H21" s="19"/>
      <c r="I21" s="19">
        <v>192</v>
      </c>
      <c r="J21" s="19"/>
      <c r="K21" s="19" t="s">
        <v>225</v>
      </c>
      <c r="L21" s="13">
        <v>90</v>
      </c>
      <c r="N21" s="13">
        <v>84</v>
      </c>
      <c r="R21" s="13">
        <v>192</v>
      </c>
      <c r="U21" s="95">
        <v>204</v>
      </c>
      <c r="V21" s="95"/>
      <c r="W21" s="13">
        <v>138</v>
      </c>
      <c r="Z21" s="13">
        <v>168</v>
      </c>
      <c r="AD21" s="13">
        <v>108</v>
      </c>
      <c r="AF21" s="13">
        <v>224</v>
      </c>
      <c r="AH21" s="13">
        <v>192</v>
      </c>
      <c r="AI21" s="13">
        <v>200</v>
      </c>
      <c r="AJ21" s="13">
        <v>84</v>
      </c>
      <c r="AK21" s="13">
        <v>192</v>
      </c>
      <c r="AN21" s="13">
        <v>208</v>
      </c>
      <c r="AP21" s="13">
        <v>188</v>
      </c>
      <c r="AQ21" s="7" t="s">
        <v>86</v>
      </c>
    </row>
    <row r="22" spans="1:43" ht="34.5" x14ac:dyDescent="0.25">
      <c r="B22" s="9" t="s">
        <v>88</v>
      </c>
      <c r="C22" s="19"/>
      <c r="D22" s="19"/>
      <c r="E22" s="19"/>
      <c r="F22" s="19">
        <v>22</v>
      </c>
      <c r="G22" s="19"/>
      <c r="H22" s="19"/>
      <c r="I22" s="19">
        <v>48</v>
      </c>
      <c r="J22" s="19"/>
      <c r="K22" s="22" t="s">
        <v>224</v>
      </c>
      <c r="L22" s="13" t="s">
        <v>89</v>
      </c>
      <c r="N22" s="13">
        <v>21</v>
      </c>
      <c r="R22" s="13">
        <f>R21/R9</f>
        <v>24</v>
      </c>
      <c r="U22" s="95">
        <v>51</v>
      </c>
      <c r="V22" s="95"/>
      <c r="Z22" s="13">
        <v>42</v>
      </c>
      <c r="AD22" s="13">
        <v>54</v>
      </c>
      <c r="AF22" s="13">
        <f>AF21/4</f>
        <v>56</v>
      </c>
      <c r="AH22" s="13">
        <f>AH21/AH9</f>
        <v>48</v>
      </c>
      <c r="AI22" s="13">
        <f>AI21/4</f>
        <v>50</v>
      </c>
      <c r="AJ22" s="13">
        <f>AJ21/AJ9</f>
        <v>21</v>
      </c>
      <c r="AK22" s="13">
        <f>AK21/4</f>
        <v>48</v>
      </c>
      <c r="AN22" s="13">
        <f>AN21/4</f>
        <v>52</v>
      </c>
      <c r="AP22" s="13" t="s">
        <v>90</v>
      </c>
    </row>
    <row r="23" spans="1:43" x14ac:dyDescent="0.25">
      <c r="C23" s="19"/>
      <c r="D23" s="19"/>
      <c r="E23" s="19"/>
      <c r="F23" s="19"/>
      <c r="G23" s="19"/>
      <c r="H23" s="19"/>
      <c r="I23" s="19"/>
      <c r="J23" s="19"/>
      <c r="K23" s="19"/>
      <c r="L23" s="13" t="s">
        <v>91</v>
      </c>
      <c r="U23" s="95"/>
      <c r="V23" s="95"/>
      <c r="AP23" s="13" t="s">
        <v>92</v>
      </c>
    </row>
    <row r="24" spans="1:43" x14ac:dyDescent="0.25">
      <c r="B24" s="9" t="s">
        <v>93</v>
      </c>
      <c r="C24" s="19"/>
      <c r="D24" s="19"/>
      <c r="E24" s="19"/>
      <c r="F24" s="19" t="s">
        <v>321</v>
      </c>
      <c r="G24" s="19"/>
      <c r="H24" s="19"/>
      <c r="I24" s="19">
        <v>12</v>
      </c>
      <c r="J24" s="13" t="s">
        <v>233</v>
      </c>
      <c r="K24" s="19">
        <v>10</v>
      </c>
      <c r="L24" s="13">
        <v>9</v>
      </c>
      <c r="R24" s="13" t="s">
        <v>94</v>
      </c>
      <c r="S24" s="13">
        <v>9</v>
      </c>
      <c r="T24" s="13">
        <v>10</v>
      </c>
      <c r="U24" s="95" t="s">
        <v>408</v>
      </c>
      <c r="V24" s="95"/>
      <c r="W24" s="13" t="s">
        <v>95</v>
      </c>
      <c r="Y24" s="13">
        <v>10</v>
      </c>
      <c r="Z24" s="13" t="s">
        <v>96</v>
      </c>
      <c r="AB24" s="13" t="s">
        <v>97</v>
      </c>
      <c r="AF24" s="13">
        <v>10</v>
      </c>
      <c r="AH24" s="13">
        <v>11</v>
      </c>
      <c r="AI24" s="13">
        <v>10</v>
      </c>
      <c r="AJ24" s="13">
        <v>12</v>
      </c>
      <c r="AK24" s="13" t="s">
        <v>94</v>
      </c>
      <c r="AL24" s="1">
        <v>8.375</v>
      </c>
      <c r="AN24" s="13">
        <v>10</v>
      </c>
      <c r="AP24" s="13" t="s">
        <v>98</v>
      </c>
    </row>
    <row r="25" spans="1:43" x14ac:dyDescent="0.25">
      <c r="B25" s="9" t="s">
        <v>99</v>
      </c>
      <c r="C25" s="19"/>
      <c r="D25" s="19"/>
      <c r="E25" s="19"/>
      <c r="F25" s="19"/>
      <c r="G25" s="19"/>
      <c r="H25" s="19"/>
      <c r="I25" s="19" t="s">
        <v>305</v>
      </c>
      <c r="J25" s="19"/>
      <c r="K25" s="19"/>
      <c r="L25" s="13" t="s">
        <v>100</v>
      </c>
      <c r="R25" s="4" t="s">
        <v>101</v>
      </c>
      <c r="S25" s="4"/>
      <c r="T25" s="13" t="s">
        <v>102</v>
      </c>
      <c r="U25" s="95" t="s">
        <v>409</v>
      </c>
      <c r="V25" s="95"/>
      <c r="W25" s="13" t="s">
        <v>103</v>
      </c>
      <c r="Z25" s="13" t="s">
        <v>104</v>
      </c>
      <c r="AF25" s="13" t="s">
        <v>105</v>
      </c>
      <c r="AH25" s="13" t="s">
        <v>417</v>
      </c>
      <c r="AI25" s="13" t="s">
        <v>106</v>
      </c>
      <c r="AJ25" s="4" t="s">
        <v>276</v>
      </c>
      <c r="AN25" s="13" t="s">
        <v>107</v>
      </c>
      <c r="AP25" s="13" t="s">
        <v>108</v>
      </c>
    </row>
    <row r="26" spans="1:43" x14ac:dyDescent="0.25">
      <c r="B26" s="9" t="s">
        <v>109</v>
      </c>
      <c r="C26" s="19"/>
      <c r="D26" s="19"/>
      <c r="E26" s="19"/>
      <c r="F26" s="19" t="s">
        <v>324</v>
      </c>
      <c r="G26" s="19"/>
      <c r="H26" s="19"/>
      <c r="I26" s="19" t="s">
        <v>306</v>
      </c>
      <c r="J26" s="19" t="s">
        <v>232</v>
      </c>
      <c r="K26" s="20" t="s">
        <v>226</v>
      </c>
      <c r="L26" s="13" t="s">
        <v>110</v>
      </c>
      <c r="R26" s="13" t="s">
        <v>111</v>
      </c>
      <c r="S26" s="13" t="s">
        <v>290</v>
      </c>
      <c r="T26" s="13" t="s">
        <v>112</v>
      </c>
      <c r="U26" s="95" t="s">
        <v>410</v>
      </c>
      <c r="V26" s="95"/>
      <c r="W26" s="13" t="s">
        <v>113</v>
      </c>
      <c r="Y26" s="20" t="s">
        <v>236</v>
      </c>
      <c r="Z26" s="13" t="s">
        <v>104</v>
      </c>
      <c r="AB26" s="13" t="s">
        <v>114</v>
      </c>
      <c r="AD26" s="13" t="s">
        <v>382</v>
      </c>
      <c r="AF26" s="13" t="s">
        <v>115</v>
      </c>
      <c r="AH26" s="13" t="s">
        <v>418</v>
      </c>
      <c r="AI26" s="13" t="s">
        <v>116</v>
      </c>
      <c r="AJ26" s="13" t="s">
        <v>111</v>
      </c>
      <c r="AM26" s="13" t="s">
        <v>117</v>
      </c>
      <c r="AN26" s="13" t="s">
        <v>118</v>
      </c>
      <c r="AP26" s="13" t="s">
        <v>119</v>
      </c>
    </row>
    <row r="27" spans="1:43" x14ac:dyDescent="0.25">
      <c r="B27" s="9" t="s">
        <v>120</v>
      </c>
      <c r="C27" s="19"/>
      <c r="D27" s="19"/>
      <c r="E27" s="19"/>
      <c r="F27" s="19">
        <v>6</v>
      </c>
      <c r="G27" s="19"/>
      <c r="H27" s="19"/>
      <c r="I27" s="19"/>
      <c r="J27" s="19"/>
      <c r="K27" s="19"/>
      <c r="L27" s="13" t="s">
        <v>121</v>
      </c>
      <c r="R27" s="13" t="s">
        <v>122</v>
      </c>
      <c r="T27" s="1">
        <v>5.75</v>
      </c>
      <c r="U27" s="1" t="s">
        <v>400</v>
      </c>
      <c r="V27" s="1"/>
      <c r="W27" s="13" t="s">
        <v>123</v>
      </c>
      <c r="AF27" s="13" t="s">
        <v>123</v>
      </c>
      <c r="AH27" s="13" t="s">
        <v>419</v>
      </c>
      <c r="AI27" s="13" t="s">
        <v>123</v>
      </c>
      <c r="AJ27" s="13" t="s">
        <v>257</v>
      </c>
      <c r="AL27" s="13" t="s">
        <v>124</v>
      </c>
      <c r="AN27" s="13" t="s">
        <v>125</v>
      </c>
      <c r="AP27" s="1">
        <v>5.375</v>
      </c>
    </row>
    <row r="28" spans="1:43" x14ac:dyDescent="0.25">
      <c r="A28" s="7" t="s">
        <v>126</v>
      </c>
      <c r="B28" s="9" t="s">
        <v>127</v>
      </c>
      <c r="C28" s="19"/>
      <c r="D28" s="19"/>
      <c r="E28" s="19"/>
      <c r="F28" s="19"/>
      <c r="G28" s="19"/>
      <c r="H28" s="19">
        <v>10</v>
      </c>
      <c r="I28" s="19">
        <v>20</v>
      </c>
      <c r="K28" s="19"/>
      <c r="L28" s="13">
        <v>12</v>
      </c>
      <c r="R28" s="13">
        <v>10</v>
      </c>
      <c r="T28" s="13">
        <v>13.8</v>
      </c>
      <c r="U28" s="95">
        <v>9</v>
      </c>
      <c r="V28" s="95"/>
      <c r="W28" s="13">
        <v>11</v>
      </c>
      <c r="Z28" s="13">
        <v>10</v>
      </c>
      <c r="AA28" s="19" t="s">
        <v>388</v>
      </c>
      <c r="AB28" s="13">
        <v>14.7</v>
      </c>
      <c r="AF28" s="13">
        <v>17</v>
      </c>
      <c r="AH28" s="13">
        <v>15</v>
      </c>
      <c r="AI28" s="13">
        <v>11</v>
      </c>
      <c r="AK28" s="13">
        <v>15</v>
      </c>
      <c r="AM28" s="13" t="s">
        <v>128</v>
      </c>
      <c r="AN28" s="13" t="s">
        <v>129</v>
      </c>
      <c r="AO28" s="13">
        <v>14</v>
      </c>
      <c r="AP28" s="13">
        <v>14</v>
      </c>
      <c r="AQ28" s="7" t="s">
        <v>126</v>
      </c>
    </row>
    <row r="29" spans="1:43" x14ac:dyDescent="0.25">
      <c r="A29" s="7" t="s">
        <v>130</v>
      </c>
      <c r="B29" s="9" t="s">
        <v>131</v>
      </c>
      <c r="C29" s="19"/>
      <c r="D29" s="19"/>
      <c r="E29" s="19"/>
      <c r="F29" s="19"/>
      <c r="G29" s="19"/>
      <c r="H29" s="19" t="s">
        <v>250</v>
      </c>
      <c r="I29" s="19" t="s">
        <v>281</v>
      </c>
      <c r="L29" s="13" t="s">
        <v>45</v>
      </c>
      <c r="N29" s="13" t="s">
        <v>338</v>
      </c>
      <c r="O29" s="13" t="s">
        <v>337</v>
      </c>
      <c r="P29" s="13" t="s">
        <v>279</v>
      </c>
      <c r="R29" s="13" t="s">
        <v>45</v>
      </c>
      <c r="T29" s="4" t="s">
        <v>132</v>
      </c>
      <c r="U29" s="95" t="s">
        <v>45</v>
      </c>
      <c r="V29" s="96"/>
      <c r="W29" s="13" t="s">
        <v>133</v>
      </c>
      <c r="AB29" s="13" t="s">
        <v>134</v>
      </c>
      <c r="AF29" s="13" t="s">
        <v>135</v>
      </c>
      <c r="AH29" s="13" t="s">
        <v>45</v>
      </c>
      <c r="AI29" s="4" t="s">
        <v>136</v>
      </c>
      <c r="AJ29" s="4"/>
      <c r="AL29" s="13" t="s">
        <v>137</v>
      </c>
      <c r="AM29" s="4" t="s">
        <v>138</v>
      </c>
      <c r="AN29" s="13" t="s">
        <v>139</v>
      </c>
      <c r="AO29" s="13" t="s">
        <v>140</v>
      </c>
      <c r="AP29" s="13" t="s">
        <v>141</v>
      </c>
      <c r="AQ29" s="7" t="s">
        <v>130</v>
      </c>
    </row>
    <row r="30" spans="1:43" x14ac:dyDescent="0.25">
      <c r="B30" s="9" t="s">
        <v>142</v>
      </c>
      <c r="D30" s="19">
        <v>48</v>
      </c>
      <c r="E30" s="19">
        <v>120</v>
      </c>
      <c r="F30" s="19"/>
      <c r="G30" s="19">
        <v>88</v>
      </c>
      <c r="H30" s="19">
        <v>62</v>
      </c>
      <c r="I30" s="19">
        <v>48</v>
      </c>
      <c r="L30" s="13">
        <v>72</v>
      </c>
      <c r="M30" s="13">
        <v>80</v>
      </c>
      <c r="N30" s="13">
        <v>52</v>
      </c>
      <c r="O30" s="13">
        <v>92</v>
      </c>
      <c r="Q30" s="13">
        <v>60</v>
      </c>
      <c r="R30" s="13">
        <v>88</v>
      </c>
      <c r="T30" s="13">
        <v>88</v>
      </c>
      <c r="U30" s="95">
        <v>88</v>
      </c>
      <c r="V30" s="95"/>
      <c r="W30" s="13">
        <v>72</v>
      </c>
      <c r="Z30" s="13">
        <v>120</v>
      </c>
      <c r="AB30" s="13">
        <v>73</v>
      </c>
      <c r="AC30" s="13">
        <v>73</v>
      </c>
      <c r="AF30" s="13">
        <v>68</v>
      </c>
      <c r="AG30" s="13">
        <v>56</v>
      </c>
      <c r="AH30" s="13">
        <v>120</v>
      </c>
      <c r="AI30" s="13">
        <v>97</v>
      </c>
      <c r="AK30" s="13">
        <v>72</v>
      </c>
      <c r="AL30" s="13">
        <v>78</v>
      </c>
      <c r="AM30" s="13">
        <v>65</v>
      </c>
      <c r="AN30" s="13">
        <v>85</v>
      </c>
      <c r="AP30" s="13">
        <v>82</v>
      </c>
    </row>
    <row r="31" spans="1:43" ht="12" customHeight="1" x14ac:dyDescent="0.25">
      <c r="A31" s="7" t="s">
        <v>143</v>
      </c>
      <c r="B31" s="9" t="s">
        <v>131</v>
      </c>
      <c r="H31" s="19" t="s">
        <v>249</v>
      </c>
      <c r="I31" s="19" t="s">
        <v>307</v>
      </c>
      <c r="L31" s="13" t="s">
        <v>140</v>
      </c>
      <c r="P31" s="13" t="s">
        <v>280</v>
      </c>
      <c r="R31" s="13" t="s">
        <v>56</v>
      </c>
      <c r="T31" s="4" t="s">
        <v>144</v>
      </c>
      <c r="U31" s="96"/>
      <c r="V31" s="96"/>
      <c r="W31" s="13" t="s">
        <v>145</v>
      </c>
      <c r="AB31" s="13" t="s">
        <v>146</v>
      </c>
      <c r="AF31" s="13" t="s">
        <v>147</v>
      </c>
      <c r="AH31" s="13" t="s">
        <v>420</v>
      </c>
      <c r="AI31" s="13" t="s">
        <v>103</v>
      </c>
      <c r="AM31" s="13" t="s">
        <v>148</v>
      </c>
      <c r="AN31" s="13" t="s">
        <v>149</v>
      </c>
      <c r="AO31" s="13" t="s">
        <v>140</v>
      </c>
      <c r="AP31" s="13" t="s">
        <v>150</v>
      </c>
      <c r="AQ31" s="7" t="s">
        <v>143</v>
      </c>
    </row>
    <row r="32" spans="1:43" x14ac:dyDescent="0.25">
      <c r="B32" s="9" t="s">
        <v>142</v>
      </c>
      <c r="E32" s="19">
        <v>48</v>
      </c>
      <c r="F32" s="19"/>
      <c r="G32" s="19"/>
      <c r="H32" s="19">
        <v>24</v>
      </c>
      <c r="I32" s="19">
        <v>30</v>
      </c>
      <c r="L32" s="13">
        <v>18</v>
      </c>
      <c r="M32" s="13">
        <v>32</v>
      </c>
      <c r="Q32" s="13">
        <v>45</v>
      </c>
      <c r="R32" s="13">
        <v>44</v>
      </c>
      <c r="T32" s="13">
        <v>37</v>
      </c>
      <c r="U32" s="95"/>
      <c r="V32" s="95"/>
      <c r="W32" s="13">
        <v>40</v>
      </c>
      <c r="Z32" s="13">
        <v>49</v>
      </c>
      <c r="AB32" s="13">
        <v>26</v>
      </c>
      <c r="AC32" s="13">
        <v>26</v>
      </c>
      <c r="AF32" s="13">
        <v>52</v>
      </c>
      <c r="AG32" s="13">
        <v>24</v>
      </c>
      <c r="AH32" s="13">
        <v>40</v>
      </c>
      <c r="AI32" s="13">
        <v>29</v>
      </c>
      <c r="AJ32" s="13">
        <v>48</v>
      </c>
      <c r="AK32" s="13">
        <v>24</v>
      </c>
      <c r="AL32" s="13">
        <v>43</v>
      </c>
      <c r="AM32" s="13">
        <v>44</v>
      </c>
      <c r="AN32" s="13">
        <v>63</v>
      </c>
      <c r="AP32" s="13">
        <v>36</v>
      </c>
    </row>
    <row r="33" spans="1:48" x14ac:dyDescent="0.25">
      <c r="A33" s="7" t="s">
        <v>151</v>
      </c>
      <c r="B33" s="9" t="s">
        <v>131</v>
      </c>
      <c r="H33" s="19" t="s">
        <v>175</v>
      </c>
      <c r="I33" s="19" t="s">
        <v>308</v>
      </c>
      <c r="L33" s="13" t="s">
        <v>145</v>
      </c>
      <c r="P33" s="13" t="s">
        <v>281</v>
      </c>
      <c r="R33" s="13" t="s">
        <v>135</v>
      </c>
      <c r="T33" s="4" t="s">
        <v>152</v>
      </c>
      <c r="U33" s="96"/>
      <c r="V33" s="96"/>
      <c r="W33" s="13" t="s">
        <v>153</v>
      </c>
      <c r="AB33" s="13" t="s">
        <v>154</v>
      </c>
      <c r="AF33" s="13" t="s">
        <v>55</v>
      </c>
      <c r="AH33" s="13" t="s">
        <v>421</v>
      </c>
      <c r="AI33" s="13" t="s">
        <v>155</v>
      </c>
      <c r="AN33" s="13" t="s">
        <v>389</v>
      </c>
      <c r="AO33" s="13" t="s">
        <v>427</v>
      </c>
      <c r="AP33" s="13" t="s">
        <v>156</v>
      </c>
      <c r="AQ33" s="7" t="s">
        <v>151</v>
      </c>
    </row>
    <row r="34" spans="1:48" x14ac:dyDescent="0.25">
      <c r="B34" s="9" t="s">
        <v>142</v>
      </c>
      <c r="E34" s="19">
        <v>66</v>
      </c>
      <c r="F34" s="19"/>
      <c r="G34" s="19"/>
      <c r="H34" s="19">
        <v>65</v>
      </c>
      <c r="I34" s="19">
        <v>140</v>
      </c>
      <c r="L34" s="13">
        <v>64</v>
      </c>
      <c r="M34" s="13">
        <v>64</v>
      </c>
      <c r="Q34" s="13">
        <v>70</v>
      </c>
      <c r="R34" s="13">
        <v>108</v>
      </c>
      <c r="T34" s="13">
        <v>74</v>
      </c>
      <c r="U34" s="95"/>
      <c r="V34" s="95"/>
      <c r="W34" s="13">
        <v>110</v>
      </c>
      <c r="Z34" s="13">
        <v>144</v>
      </c>
      <c r="AB34" s="13">
        <v>72</v>
      </c>
      <c r="AC34" s="13">
        <v>72</v>
      </c>
      <c r="AF34" s="13">
        <v>148</v>
      </c>
      <c r="AG34" s="13">
        <v>57</v>
      </c>
      <c r="AH34" s="13">
        <v>65</v>
      </c>
      <c r="AI34" s="13">
        <v>123</v>
      </c>
      <c r="AJ34" s="13">
        <v>128</v>
      </c>
      <c r="AK34" s="13">
        <v>78</v>
      </c>
      <c r="AL34" s="13">
        <v>126</v>
      </c>
      <c r="AM34" s="13">
        <v>122</v>
      </c>
      <c r="AN34" s="13">
        <v>104</v>
      </c>
      <c r="AP34" s="13">
        <v>114</v>
      </c>
    </row>
    <row r="35" spans="1:48" x14ac:dyDescent="0.25">
      <c r="A35" s="7" t="s">
        <v>157</v>
      </c>
      <c r="B35" s="9" t="s">
        <v>131</v>
      </c>
      <c r="H35" s="26" t="s">
        <v>251</v>
      </c>
      <c r="I35" s="26" t="s">
        <v>309</v>
      </c>
      <c r="L35" s="13" t="s">
        <v>140</v>
      </c>
      <c r="N35" s="13" t="s">
        <v>339</v>
      </c>
      <c r="O35" s="13" t="s">
        <v>340</v>
      </c>
      <c r="P35" s="13" t="s">
        <v>282</v>
      </c>
      <c r="R35" s="13" t="s">
        <v>158</v>
      </c>
      <c r="T35" s="4" t="s">
        <v>159</v>
      </c>
      <c r="U35" s="94"/>
      <c r="V35" s="94"/>
      <c r="W35" s="13" t="s">
        <v>160</v>
      </c>
      <c r="AB35" s="13" t="s">
        <v>161</v>
      </c>
      <c r="AC35" s="13" t="s">
        <v>162</v>
      </c>
      <c r="AF35" s="13" t="s">
        <v>163</v>
      </c>
      <c r="AH35" s="13" t="s">
        <v>422</v>
      </c>
      <c r="AI35" s="13" t="s">
        <v>164</v>
      </c>
      <c r="AN35" s="13" t="s">
        <v>158</v>
      </c>
      <c r="AO35" s="13" t="s">
        <v>428</v>
      </c>
      <c r="AP35" s="4" t="s">
        <v>165</v>
      </c>
      <c r="AQ35" s="7" t="s">
        <v>157</v>
      </c>
    </row>
    <row r="36" spans="1:48" x14ac:dyDescent="0.25">
      <c r="B36" s="9" t="s">
        <v>142</v>
      </c>
      <c r="D36" s="19">
        <v>13</v>
      </c>
      <c r="G36" s="13">
        <v>18</v>
      </c>
      <c r="H36" s="19">
        <v>18</v>
      </c>
      <c r="I36" s="19">
        <v>24</v>
      </c>
      <c r="L36" s="13">
        <v>32</v>
      </c>
      <c r="N36" s="13">
        <v>11</v>
      </c>
      <c r="O36" s="13">
        <v>18</v>
      </c>
      <c r="R36" s="13">
        <v>20</v>
      </c>
      <c r="T36" s="13">
        <v>20</v>
      </c>
      <c r="U36" s="95">
        <v>10</v>
      </c>
      <c r="V36" s="95">
        <v>13</v>
      </c>
      <c r="W36" s="13">
        <v>20</v>
      </c>
      <c r="Z36" s="13">
        <v>33</v>
      </c>
      <c r="AB36" s="13">
        <v>24</v>
      </c>
      <c r="AC36" s="13">
        <v>21</v>
      </c>
      <c r="AF36" s="13">
        <v>21</v>
      </c>
      <c r="AH36" s="13">
        <v>20</v>
      </c>
      <c r="AI36" s="13">
        <v>40</v>
      </c>
      <c r="AJ36" s="13">
        <v>20</v>
      </c>
      <c r="AK36" s="13">
        <v>19</v>
      </c>
      <c r="AL36" s="13">
        <v>23</v>
      </c>
      <c r="AM36" s="13">
        <v>22</v>
      </c>
      <c r="AN36" s="13">
        <v>18</v>
      </c>
      <c r="AP36" s="13">
        <v>27</v>
      </c>
    </row>
    <row r="37" spans="1:48" x14ac:dyDescent="0.25">
      <c r="A37" s="7" t="s">
        <v>166</v>
      </c>
      <c r="D37" s="82">
        <f>D30/D36</f>
        <v>3.6923076923076925</v>
      </c>
      <c r="G37" s="2">
        <f>G30/G36</f>
        <v>4.8888888888888893</v>
      </c>
      <c r="H37" s="2">
        <f>H30/H32*H34/H36</f>
        <v>9.3287037037037042</v>
      </c>
      <c r="I37" s="2">
        <f>I30/I32*I34/I36</f>
        <v>9.3333333333333339</v>
      </c>
      <c r="L37" s="2">
        <f t="shared" ref="L37:AN37" si="4">L30/L32*L34/L36</f>
        <v>8</v>
      </c>
      <c r="M37" s="2"/>
      <c r="N37" s="2">
        <f>N30/N36</f>
        <v>4.7272727272727275</v>
      </c>
      <c r="O37" s="2">
        <f>O30/O36</f>
        <v>5.1111111111111107</v>
      </c>
      <c r="P37" s="2"/>
      <c r="Q37" s="2"/>
      <c r="R37" s="2">
        <f t="shared" si="4"/>
        <v>10.8</v>
      </c>
      <c r="S37" s="2"/>
      <c r="T37" s="2">
        <f t="shared" si="4"/>
        <v>8.8000000000000007</v>
      </c>
      <c r="U37" s="2">
        <f>U30/U36</f>
        <v>8.8000000000000007</v>
      </c>
      <c r="V37" s="2">
        <f>U30/V36</f>
        <v>6.7692307692307692</v>
      </c>
      <c r="W37" s="2">
        <f t="shared" si="4"/>
        <v>9.9</v>
      </c>
      <c r="X37" s="2"/>
      <c r="Y37" s="2"/>
      <c r="Z37" s="2">
        <f t="shared" si="4"/>
        <v>10.686456400742117</v>
      </c>
      <c r="AA37" s="2"/>
      <c r="AB37" s="2">
        <f t="shared" si="4"/>
        <v>8.4230769230769216</v>
      </c>
      <c r="AC37" s="2">
        <f t="shared" si="4"/>
        <v>9.6263736263736259</v>
      </c>
      <c r="AD37" s="2"/>
      <c r="AE37" s="2"/>
      <c r="AF37" s="2">
        <f t="shared" si="4"/>
        <v>9.2161172161172171</v>
      </c>
      <c r="AG37" s="2"/>
      <c r="AH37" s="2">
        <f t="shared" si="4"/>
        <v>9.75</v>
      </c>
      <c r="AI37" s="2">
        <f t="shared" si="4"/>
        <v>10.285344827586206</v>
      </c>
      <c r="AJ37" s="2"/>
      <c r="AK37" s="2">
        <f t="shared" si="4"/>
        <v>12.315789473684211</v>
      </c>
      <c r="AL37" s="2">
        <f t="shared" si="4"/>
        <v>9.9373104145601605</v>
      </c>
      <c r="AM37" s="2">
        <f t="shared" si="4"/>
        <v>8.1921487603305785</v>
      </c>
      <c r="AN37" s="2">
        <f t="shared" si="4"/>
        <v>7.7954144620811299</v>
      </c>
      <c r="AO37" s="2">
        <f>16.75/67.5</f>
        <v>0.24814814814814815</v>
      </c>
      <c r="AP37" s="2">
        <f>AP30/AP32*AP34/AP36</f>
        <v>9.6172839506172831</v>
      </c>
      <c r="AQ37" s="7" t="s">
        <v>166</v>
      </c>
    </row>
    <row r="38" spans="1:48" x14ac:dyDescent="0.25">
      <c r="A38" s="40" t="s">
        <v>264</v>
      </c>
      <c r="B38" s="53" t="s">
        <v>269</v>
      </c>
      <c r="C38" s="54">
        <v>80</v>
      </c>
      <c r="D38" s="83">
        <v>108</v>
      </c>
      <c r="E38" s="54"/>
      <c r="F38" s="54"/>
      <c r="G38" s="54">
        <v>80</v>
      </c>
      <c r="H38" s="44">
        <f>C38</f>
        <v>80</v>
      </c>
      <c r="I38" s="44">
        <f>C38*1.353</f>
        <v>108.24</v>
      </c>
      <c r="J38" s="44">
        <f>C38</f>
        <v>80</v>
      </c>
      <c r="K38" s="44">
        <f>J38</f>
        <v>80</v>
      </c>
      <c r="L38" s="44">
        <f>K38</f>
        <v>80</v>
      </c>
      <c r="M38" s="44"/>
      <c r="N38" s="44">
        <f>C38*0.915</f>
        <v>73.2</v>
      </c>
      <c r="O38" s="44">
        <f>C38</f>
        <v>80</v>
      </c>
      <c r="P38" s="44"/>
      <c r="Q38" s="44"/>
      <c r="R38" s="44">
        <f>C38*1.11</f>
        <v>88.800000000000011</v>
      </c>
      <c r="S38" s="44"/>
      <c r="T38" s="44">
        <f>C38</f>
        <v>80</v>
      </c>
      <c r="U38" s="44">
        <f>C38</f>
        <v>80</v>
      </c>
      <c r="V38" s="44">
        <f>C38</f>
        <v>80</v>
      </c>
      <c r="W38" s="44">
        <f>C38*1.03</f>
        <v>82.4</v>
      </c>
      <c r="X38" s="44"/>
      <c r="Y38" s="44">
        <f>C38</f>
        <v>80</v>
      </c>
      <c r="Z38" s="44">
        <f>C38*1.08</f>
        <v>86.4</v>
      </c>
      <c r="AA38" s="44"/>
      <c r="AB38" s="44">
        <f>C38*1.085</f>
        <v>86.8</v>
      </c>
      <c r="AC38" s="44">
        <f>C38</f>
        <v>80</v>
      </c>
      <c r="AD38" s="44"/>
      <c r="AE38" s="44"/>
      <c r="AF38" s="44">
        <f>AC38</f>
        <v>80</v>
      </c>
      <c r="AG38" s="44"/>
      <c r="AH38" s="44">
        <f>C38</f>
        <v>80</v>
      </c>
      <c r="AI38" s="44">
        <f>C38</f>
        <v>80</v>
      </c>
      <c r="AJ38" s="44">
        <f>AI38</f>
        <v>80</v>
      </c>
      <c r="AK38" s="44">
        <f>AJ38</f>
        <v>80</v>
      </c>
      <c r="AL38" s="44">
        <f>AK38</f>
        <v>80</v>
      </c>
      <c r="AM38" s="44">
        <f>AL38</f>
        <v>80</v>
      </c>
      <c r="AN38" s="44">
        <v>80</v>
      </c>
      <c r="AO38" s="44">
        <v>8</v>
      </c>
      <c r="AP38" s="44">
        <f>AN38</f>
        <v>80</v>
      </c>
      <c r="AQ38" s="53" t="s">
        <v>269</v>
      </c>
    </row>
    <row r="39" spans="1:48" x14ac:dyDescent="0.25">
      <c r="A39" s="40"/>
      <c r="B39" s="37" t="s">
        <v>167</v>
      </c>
      <c r="C39" s="38"/>
      <c r="D39" s="83">
        <f>D38*D36/D30</f>
        <v>29.25</v>
      </c>
      <c r="E39" s="38"/>
      <c r="F39" s="38"/>
      <c r="G39" s="39">
        <f>G38/G37</f>
        <v>16.363636363636363</v>
      </c>
      <c r="H39" s="39">
        <f>H38*H32/H30*H36/H34</f>
        <v>8.575682382133996</v>
      </c>
      <c r="I39" s="39">
        <f>I38*I32/I30*I36/I34</f>
        <v>11.597142857142856</v>
      </c>
      <c r="J39" s="38"/>
      <c r="K39" s="38"/>
      <c r="L39" s="39">
        <f>L38*L32/L30*L36/L34</f>
        <v>10</v>
      </c>
      <c r="M39" s="39"/>
      <c r="N39" s="39">
        <f>N38/N37</f>
        <v>15.484615384615385</v>
      </c>
      <c r="O39" s="39">
        <f>O38/O37</f>
        <v>15.65217391304348</v>
      </c>
      <c r="P39" s="39"/>
      <c r="Q39" s="39"/>
      <c r="R39" s="39">
        <f>R38*R32/R30*R36/R34</f>
        <v>8.2222222222222232</v>
      </c>
      <c r="S39" s="39"/>
      <c r="T39" s="39">
        <f>T38*T32/T30*T36/T34</f>
        <v>9.0909090909090899</v>
      </c>
      <c r="U39" s="39">
        <f>U38/U37</f>
        <v>9.0909090909090899</v>
      </c>
      <c r="V39" s="39">
        <f>V38/V37</f>
        <v>11.818181818181818</v>
      </c>
      <c r="W39" s="39">
        <f>W38*W32/W30*W36/W34</f>
        <v>8.3232323232323235</v>
      </c>
      <c r="X39" s="39"/>
      <c r="Y39" s="39"/>
      <c r="Z39" s="39">
        <f>Z38*Z32/Z30*Z36/Z34</f>
        <v>8.0850000000000009</v>
      </c>
      <c r="AA39" s="39"/>
      <c r="AB39" s="39">
        <f>AB38*AB32/AB30*AB36/AB34</f>
        <v>10.305022831050227</v>
      </c>
      <c r="AC39" s="39">
        <f>AC38*AC32/AC30*AC36/AC34</f>
        <v>8.3105022831050235</v>
      </c>
      <c r="AD39" s="39"/>
      <c r="AE39" s="39"/>
      <c r="AF39" s="39">
        <f>AF38*AF32/AF30*AF36/AF34</f>
        <v>8.6804451510333873</v>
      </c>
      <c r="AG39" s="39"/>
      <c r="AH39" s="39">
        <f>AH38*AH32/AH30*AH36/AH34</f>
        <v>8.2051282051282062</v>
      </c>
      <c r="AI39" s="39">
        <f>AI38*AI32/AI30*AI36/AI34</f>
        <v>7.7780571620149193</v>
      </c>
      <c r="AJ39" s="39"/>
      <c r="AK39" s="39">
        <f>AK38*AK32/AK30*AK36/AK34</f>
        <v>6.4957264957264957</v>
      </c>
      <c r="AL39" s="39">
        <f>AL38*AL32/AL30*AL36/AL34</f>
        <v>8.0504680504680497</v>
      </c>
      <c r="AM39" s="39">
        <f>AM38*AM32/AM30*AM36/AM34</f>
        <v>9.7654476670870114</v>
      </c>
      <c r="AN39" s="39">
        <f>AN38/AN37</f>
        <v>10.262443438914026</v>
      </c>
      <c r="AO39" s="39">
        <f>AO38/AO37</f>
        <v>32.238805970149251</v>
      </c>
      <c r="AP39" s="39">
        <f>AP38*AP32/AP30*AP36/AP34</f>
        <v>8.3183568677792046</v>
      </c>
      <c r="AQ39" s="37" t="s">
        <v>167</v>
      </c>
    </row>
    <row r="40" spans="1:48" x14ac:dyDescent="0.25">
      <c r="B40" s="41" t="s">
        <v>168</v>
      </c>
      <c r="C40" s="42"/>
      <c r="D40" s="43">
        <f>PI()*D39*D13/0.3048/88</f>
        <v>24.529637520926926</v>
      </c>
      <c r="E40" s="42"/>
      <c r="F40" s="42"/>
      <c r="G40" s="42"/>
      <c r="H40" s="43">
        <f>PI()*H39*H13/0.3048/88</f>
        <v>15.508443834549315</v>
      </c>
      <c r="I40" s="43">
        <f>PI()*I39*I13/0.3048/88</f>
        <v>27.981466063223483</v>
      </c>
      <c r="J40" s="42"/>
      <c r="K40" s="42"/>
      <c r="L40" s="39">
        <f>56*L39/28.011</f>
        <v>19.992145942665381</v>
      </c>
      <c r="M40" s="39"/>
      <c r="N40" s="39">
        <f>N13*N39/8.538</f>
        <v>27.204173198551274</v>
      </c>
      <c r="O40" s="39">
        <f>N13*O39/8.538</f>
        <v>27.498548687708151</v>
      </c>
      <c r="P40" s="39"/>
      <c r="Q40" s="39"/>
      <c r="R40" s="39">
        <f>70*R39/28.011</f>
        <v>20.547483329961647</v>
      </c>
      <c r="S40" s="39"/>
      <c r="T40" s="39">
        <f>65.792*T39/28.011</f>
        <v>21.352650419802607</v>
      </c>
      <c r="U40" s="39">
        <f>60/88/0.3048*U41</f>
        <v>18.823592345889249</v>
      </c>
      <c r="V40" s="39">
        <f>60/88/0.3048*V41</f>
        <v>24.470670049656029</v>
      </c>
      <c r="W40" s="39">
        <f>60*W39/28.011</f>
        <v>17.828493784368263</v>
      </c>
      <c r="X40" s="39"/>
      <c r="Y40" s="39"/>
      <c r="Z40" s="39">
        <f>68*Z39/28.011</f>
        <v>19.627289279211741</v>
      </c>
      <c r="AA40" s="39"/>
      <c r="AB40" s="39">
        <f>68.333*AB39/28.011</f>
        <v>25.13916408247314</v>
      </c>
      <c r="AC40" s="39">
        <f>68.333*AC39/28.011</f>
        <v>20.27351942134931</v>
      </c>
      <c r="AD40" s="39"/>
      <c r="AE40" s="39"/>
      <c r="AF40" s="39">
        <f>65*AF39/28.011</f>
        <v>20.143120017749105</v>
      </c>
      <c r="AG40" s="39"/>
      <c r="AH40" s="39">
        <f>63*AH39/28.011</f>
        <v>18.454288562460356</v>
      </c>
      <c r="AI40" s="39">
        <f>56.75*AI39/28.011</f>
        <v>15.758264394143254</v>
      </c>
      <c r="AJ40" s="39"/>
      <c r="AK40" s="39">
        <f>63*AK39/28.011</f>
        <v>14.609645111947779</v>
      </c>
      <c r="AL40" s="39">
        <f>70*AL39/28.011</f>
        <v>20.118266521465266</v>
      </c>
      <c r="AM40" s="39">
        <f>56*AM39/28.011</f>
        <v>19.52322549558647</v>
      </c>
      <c r="AN40" s="39">
        <f>63*AN39/28.011</f>
        <v>23.081430032900776</v>
      </c>
      <c r="AO40" s="39">
        <f>AO41/0.3048*60/88</f>
        <v>34.512576481091727</v>
      </c>
      <c r="AP40" s="39">
        <f>72*AP39/28.011</f>
        <v>21.381660579061894</v>
      </c>
      <c r="AQ40" s="41" t="s">
        <v>168</v>
      </c>
    </row>
    <row r="41" spans="1:48" x14ac:dyDescent="0.25">
      <c r="B41" s="41" t="s">
        <v>411</v>
      </c>
      <c r="C41" s="42"/>
      <c r="D41" s="43"/>
      <c r="E41" s="42"/>
      <c r="F41" s="42"/>
      <c r="G41" s="42"/>
      <c r="H41" s="43"/>
      <c r="I41" s="43"/>
      <c r="J41" s="42"/>
      <c r="K41" s="42"/>
      <c r="L41" s="39"/>
      <c r="M41" s="39"/>
      <c r="N41" s="39"/>
      <c r="O41" s="39"/>
      <c r="P41" s="39"/>
      <c r="Q41" s="39"/>
      <c r="R41" s="39"/>
      <c r="S41" s="39"/>
      <c r="T41" s="39"/>
      <c r="U41" s="39">
        <f>U13*U39*PI()/60</f>
        <v>8.4148987223063312</v>
      </c>
      <c r="V41" s="39">
        <f>U13*V39*PI()/60</f>
        <v>10.939368338998232</v>
      </c>
      <c r="W41" s="39"/>
      <c r="X41" s="39"/>
      <c r="Y41" s="39"/>
      <c r="Z41" s="39"/>
      <c r="AA41" s="39"/>
      <c r="AB41" s="39"/>
      <c r="AC41" s="39"/>
      <c r="AD41" s="39"/>
      <c r="AE41" s="39"/>
      <c r="AF41" s="39"/>
      <c r="AG41" s="39"/>
      <c r="AH41" s="39">
        <f>AH13*AH39*PI()/60</f>
        <v>8.2486945571178172</v>
      </c>
      <c r="AI41" s="39">
        <f>AI13*AI39*PI()/60</f>
        <v>7.0455654873567424</v>
      </c>
      <c r="AJ41" s="39"/>
      <c r="AK41" s="39">
        <f>AK13*AK39*PI()/60</f>
        <v>6.5302165243849375</v>
      </c>
      <c r="AL41" s="39">
        <f>AL13*AL39*PI()/60</f>
        <v>8.9784084062849683</v>
      </c>
      <c r="AM41" s="39">
        <f>AM13*AM39*PI()/60</f>
        <v>8.7435317152318</v>
      </c>
      <c r="AN41" s="39">
        <f>AN13*AN39*PI()/60</f>
        <v>10.316933412983385</v>
      </c>
      <c r="AO41" s="39">
        <f>AO39*PI()/30*AO13/2</f>
        <v>15.428502190107247</v>
      </c>
      <c r="AP41" s="39">
        <f>AP13*AP39*PI()/60</f>
        <v>9.5385044213999723</v>
      </c>
      <c r="AQ41" s="41" t="s">
        <v>411</v>
      </c>
    </row>
    <row r="42" spans="1:48" x14ac:dyDescent="0.25">
      <c r="B42" s="41" t="s">
        <v>259</v>
      </c>
      <c r="C42" s="54">
        <v>13</v>
      </c>
      <c r="D42" s="54">
        <f>C42</f>
        <v>13</v>
      </c>
      <c r="E42" s="42"/>
      <c r="F42" s="42"/>
      <c r="G42" s="78">
        <f>C42</f>
        <v>13</v>
      </c>
      <c r="H42" s="44">
        <f>C42</f>
        <v>13</v>
      </c>
      <c r="I42" s="44">
        <f>H42</f>
        <v>13</v>
      </c>
      <c r="J42" s="42"/>
      <c r="K42" s="42"/>
      <c r="L42" s="44">
        <f>H42</f>
        <v>13</v>
      </c>
      <c r="M42" s="44"/>
      <c r="N42" s="44">
        <f>L42</f>
        <v>13</v>
      </c>
      <c r="O42" s="44">
        <f>N42</f>
        <v>13</v>
      </c>
      <c r="P42" s="44"/>
      <c r="Q42" s="44"/>
      <c r="R42" s="44">
        <f>L42</f>
        <v>13</v>
      </c>
      <c r="S42" s="44"/>
      <c r="T42" s="44">
        <f>R42</f>
        <v>13</v>
      </c>
      <c r="U42" s="44">
        <v>10</v>
      </c>
      <c r="V42" s="44">
        <f>U42</f>
        <v>10</v>
      </c>
      <c r="W42" s="44">
        <f>T42</f>
        <v>13</v>
      </c>
      <c r="X42" s="44"/>
      <c r="Y42" s="44"/>
      <c r="Z42" s="44">
        <f>W42</f>
        <v>13</v>
      </c>
      <c r="AA42" s="44"/>
      <c r="AB42" s="44">
        <f>Z42</f>
        <v>13</v>
      </c>
      <c r="AC42" s="44">
        <f>AB42</f>
        <v>13</v>
      </c>
      <c r="AD42" s="44"/>
      <c r="AE42" s="44"/>
      <c r="AF42" s="44">
        <f>AC42</f>
        <v>13</v>
      </c>
      <c r="AG42" s="44"/>
      <c r="AH42" s="44">
        <f>AF42</f>
        <v>13</v>
      </c>
      <c r="AI42" s="44">
        <f>AF42</f>
        <v>13</v>
      </c>
      <c r="AJ42" s="39"/>
      <c r="AK42" s="44">
        <f>AI42</f>
        <v>13</v>
      </c>
      <c r="AL42" s="44">
        <f>AK42</f>
        <v>13</v>
      </c>
      <c r="AM42" s="44">
        <f>AL42</f>
        <v>13</v>
      </c>
      <c r="AN42" s="44">
        <f>AM42</f>
        <v>13</v>
      </c>
      <c r="AO42" s="44">
        <f>AN42</f>
        <v>13</v>
      </c>
      <c r="AP42" s="44">
        <f>AN42</f>
        <v>13</v>
      </c>
      <c r="AQ42" s="41" t="s">
        <v>259</v>
      </c>
    </row>
    <row r="43" spans="1:48" x14ac:dyDescent="0.25">
      <c r="B43" s="41" t="s">
        <v>411</v>
      </c>
      <c r="C43" s="54"/>
      <c r="D43" s="54"/>
      <c r="E43" s="42"/>
      <c r="F43" s="42"/>
      <c r="G43" s="78"/>
      <c r="H43" s="44"/>
      <c r="I43" s="44"/>
      <c r="J43" s="42"/>
      <c r="K43" s="42"/>
      <c r="L43" s="44"/>
      <c r="M43" s="44"/>
      <c r="N43" s="44"/>
      <c r="O43" s="44"/>
      <c r="P43" s="44"/>
      <c r="Q43" s="44"/>
      <c r="R43" s="44"/>
      <c r="S43" s="44"/>
      <c r="T43" s="44"/>
      <c r="U43" s="39">
        <f>U42*88/60*0.3048</f>
        <v>4.4703999999999997</v>
      </c>
      <c r="V43" s="39">
        <f>V42*88/60*0.3048</f>
        <v>4.4703999999999997</v>
      </c>
      <c r="W43" s="44"/>
      <c r="X43" s="44"/>
      <c r="Y43" s="44"/>
      <c r="Z43" s="44"/>
      <c r="AA43" s="44"/>
      <c r="AB43" s="44"/>
      <c r="AC43" s="44"/>
      <c r="AD43" s="44"/>
      <c r="AE43" s="44"/>
      <c r="AF43" s="44"/>
      <c r="AG43" s="44"/>
      <c r="AH43" s="39">
        <f>AH42*88/60*0.3048</f>
        <v>5.8115199999999998</v>
      </c>
      <c r="AI43" s="44"/>
      <c r="AJ43" s="39"/>
      <c r="AK43" s="44"/>
      <c r="AL43" s="44"/>
      <c r="AM43" s="44"/>
      <c r="AN43" s="39">
        <f>AN42*88/60*0.3048</f>
        <v>5.8115199999999998</v>
      </c>
      <c r="AO43" s="39">
        <f>AO42*88/60*0.3048</f>
        <v>5.8115199999999998</v>
      </c>
      <c r="AP43" s="39">
        <f>AP42*88/60*0.3048</f>
        <v>5.8115199999999998</v>
      </c>
      <c r="AQ43" s="41" t="s">
        <v>411</v>
      </c>
    </row>
    <row r="44" spans="1:48" ht="24" customHeight="1" x14ac:dyDescent="0.25">
      <c r="B44" s="45" t="s">
        <v>268</v>
      </c>
      <c r="C44" s="42"/>
      <c r="D44" s="46">
        <f>D40/D42</f>
        <v>1.8868951939174559</v>
      </c>
      <c r="E44" s="42"/>
      <c r="F44" s="42"/>
      <c r="G44" s="42"/>
      <c r="H44" s="46">
        <f>H40/H42</f>
        <v>1.192957218042255</v>
      </c>
      <c r="I44" s="46">
        <f>I40/I42</f>
        <v>2.1524204664018063</v>
      </c>
      <c r="J44" s="42"/>
      <c r="K44" s="42"/>
      <c r="L44" s="47">
        <f>L40/L42</f>
        <v>1.5378573802050293</v>
      </c>
      <c r="M44" s="47"/>
      <c r="N44" s="47">
        <f>N40/N42</f>
        <v>2.0926287075808672</v>
      </c>
      <c r="O44" s="47">
        <f>O40/O42</f>
        <v>2.1152729759775499</v>
      </c>
      <c r="P44" s="47"/>
      <c r="Q44" s="47"/>
      <c r="R44" s="47">
        <f t="shared" ref="R44:AC44" si="5">R40/R42</f>
        <v>1.5805756407662805</v>
      </c>
      <c r="S44" s="47"/>
      <c r="T44" s="47">
        <f t="shared" si="5"/>
        <v>1.6425115707540467</v>
      </c>
      <c r="U44" s="47">
        <f>U41/U43</f>
        <v>1.8823592345889253</v>
      </c>
      <c r="V44" s="47">
        <f>V41/V43</f>
        <v>2.4470670049656031</v>
      </c>
      <c r="W44" s="47">
        <f t="shared" si="5"/>
        <v>1.3714225987975586</v>
      </c>
      <c r="X44" s="47"/>
      <c r="Y44" s="47"/>
      <c r="Z44" s="47">
        <f t="shared" si="5"/>
        <v>1.5097914830162877</v>
      </c>
      <c r="AA44" s="47"/>
      <c r="AB44" s="47">
        <f t="shared" si="5"/>
        <v>1.9337818524979338</v>
      </c>
      <c r="AC44" s="47">
        <f t="shared" si="5"/>
        <v>1.559501493949947</v>
      </c>
      <c r="AD44" s="47"/>
      <c r="AE44" s="47"/>
      <c r="AF44" s="47">
        <f>AF40/AF42</f>
        <v>1.5494707705960851</v>
      </c>
      <c r="AG44" s="47"/>
      <c r="AH44" s="39">
        <f>AH43*88/60*0.3048</f>
        <v>2.5979819008000002</v>
      </c>
      <c r="AI44" s="47">
        <f>AI40/AI42</f>
        <v>1.2121741841648657</v>
      </c>
      <c r="AJ44" s="47"/>
      <c r="AK44" s="47">
        <f>AK40/AK42</f>
        <v>1.1238188547652137</v>
      </c>
      <c r="AL44" s="47">
        <f>AL40/AL42</f>
        <v>1.5475589631896358</v>
      </c>
      <c r="AM44" s="47">
        <f>AM40/AM42</f>
        <v>1.5017865765835745</v>
      </c>
      <c r="AN44" s="47">
        <f>AN40/AN42</f>
        <v>1.7754946179154443</v>
      </c>
      <c r="AO44" s="47">
        <f>AO41/AO43</f>
        <v>2.6548135754685949</v>
      </c>
      <c r="AP44" s="47">
        <f>AP40/AP42</f>
        <v>1.6447431214662995</v>
      </c>
      <c r="AQ44" s="45" t="str">
        <f>B44</f>
        <v>Tip Speed Ratio, at reference wind speed</v>
      </c>
    </row>
    <row r="45" spans="1:48" x14ac:dyDescent="0.25">
      <c r="B45" s="41" t="s">
        <v>169</v>
      </c>
      <c r="C45" s="42"/>
      <c r="D45" s="39">
        <f>180/PI()*ATAN(1/D44)-D16</f>
        <v>24.222298838202839</v>
      </c>
      <c r="E45" s="42"/>
      <c r="F45" s="42"/>
      <c r="G45" s="42"/>
      <c r="H45" s="39">
        <f>180/PI()*ATAN(1/H44)-H16</f>
        <v>37.971523170529665</v>
      </c>
      <c r="I45" s="39">
        <f>180/PI()*ATAN(1/I44)-I16</f>
        <v>12.419262442718793</v>
      </c>
      <c r="J45" s="49"/>
      <c r="K45" s="49"/>
      <c r="L45" s="39"/>
      <c r="M45" s="39"/>
      <c r="N45" s="39"/>
      <c r="O45" s="39"/>
      <c r="P45" s="39"/>
      <c r="Q45" s="39"/>
      <c r="R45" s="39">
        <f>180/PI()*ATAN(1/R44)-10</f>
        <v>22.32075511816938</v>
      </c>
      <c r="S45" s="39"/>
      <c r="T45" s="39">
        <f>180/PI()*ATAN(1/T44)-T16</f>
        <v>22.334046469210222</v>
      </c>
      <c r="U45" s="39">
        <f>180/PI()*ATAN(1/U44)-U16</f>
        <v>22.979395021325313</v>
      </c>
      <c r="V45" s="39">
        <f>180/PI()*ATAN(1/V44)-U16</f>
        <v>17.227501502729002</v>
      </c>
      <c r="W45" s="39">
        <f>180/PI()*ATAN(1/W44)-W16</f>
        <v>21.098402755494291</v>
      </c>
      <c r="X45" s="39"/>
      <c r="Y45" s="39"/>
      <c r="Z45" s="39">
        <f>180/PI()*ATAN(1/Z44)-Z16</f>
        <v>27.518225958537663</v>
      </c>
      <c r="AA45" s="39"/>
      <c r="AB45" s="39">
        <f>180/PI()*ATAN(1/AB44)-AB16</f>
        <v>16.844452656888571</v>
      </c>
      <c r="AC45" s="39">
        <f>180/PI()*ATAN(1/AC44)-AB16</f>
        <v>22.169233074368641</v>
      </c>
      <c r="AD45" s="39"/>
      <c r="AE45" s="39"/>
      <c r="AF45" s="39"/>
      <c r="AG45" s="39"/>
      <c r="AH45" s="39">
        <f>180/PI()*ATAN(1/AH44)-AH16</f>
        <v>9.0524216956974577</v>
      </c>
      <c r="AI45" s="39">
        <f>180/PI()*ATAN(1/AI44)-AI16</f>
        <v>33.521402148738083</v>
      </c>
      <c r="AJ45" s="39"/>
      <c r="AK45" s="39">
        <f>180/PI()*ATAN(1/AK44)-AK16</f>
        <v>26.663427047577258</v>
      </c>
      <c r="AL45" s="39">
        <f>180/PI()*ATAN(1/AL44)-AL16</f>
        <v>29.369692939861238</v>
      </c>
      <c r="AM45" s="39"/>
      <c r="AN45" s="39">
        <f>180/PI()*ATAN(1/AN44)-AN16</f>
        <v>14.389226527404631</v>
      </c>
      <c r="AO45" s="39">
        <f>180/PI()*ATAN(1/AO44)-AO16</f>
        <v>22.64010133339568</v>
      </c>
      <c r="AP45" s="39">
        <f>180/PI()*ATAN(1/AP44)-AP16</f>
        <v>20.299504232222027</v>
      </c>
      <c r="AQ45" s="41" t="s">
        <v>169</v>
      </c>
      <c r="AR45" s="2"/>
      <c r="AS45" s="2"/>
      <c r="AT45" s="2"/>
      <c r="AU45" s="2"/>
      <c r="AV45" s="2"/>
    </row>
    <row r="46" spans="1:48" s="33" customFormat="1" x14ac:dyDescent="0.25">
      <c r="A46" s="28"/>
      <c r="B46" s="29" t="s">
        <v>260</v>
      </c>
      <c r="C46" s="30"/>
      <c r="D46" s="84">
        <v>18</v>
      </c>
      <c r="E46" s="30"/>
      <c r="F46" s="30"/>
      <c r="G46" s="30"/>
      <c r="H46" s="31">
        <v>18</v>
      </c>
      <c r="I46" s="31">
        <f>H46</f>
        <v>18</v>
      </c>
      <c r="J46" s="30"/>
      <c r="K46" s="30"/>
      <c r="L46" s="32"/>
      <c r="M46" s="32"/>
      <c r="N46" s="32"/>
      <c r="O46" s="32"/>
      <c r="P46" s="32"/>
      <c r="Q46" s="32"/>
      <c r="R46" s="31">
        <f>H46</f>
        <v>18</v>
      </c>
      <c r="S46" s="31"/>
      <c r="T46" s="31">
        <f>R46</f>
        <v>18</v>
      </c>
      <c r="U46" s="31">
        <f>T46</f>
        <v>18</v>
      </c>
      <c r="V46" s="31">
        <f>U46</f>
        <v>18</v>
      </c>
      <c r="W46" s="31">
        <f>T46</f>
        <v>18</v>
      </c>
      <c r="X46" s="31"/>
      <c r="Y46" s="31"/>
      <c r="Z46" s="31">
        <f>W46</f>
        <v>18</v>
      </c>
      <c r="AA46" s="31"/>
      <c r="AB46" s="31">
        <f>Z46</f>
        <v>18</v>
      </c>
      <c r="AC46" s="31">
        <f>AB46</f>
        <v>18</v>
      </c>
      <c r="AD46" s="31"/>
      <c r="AE46" s="31"/>
      <c r="AF46" s="31"/>
      <c r="AG46" s="31"/>
      <c r="AH46" s="31">
        <v>12</v>
      </c>
      <c r="AI46" s="31">
        <f>AC46</f>
        <v>18</v>
      </c>
      <c r="AJ46" s="31"/>
      <c r="AK46" s="31">
        <f>AI46</f>
        <v>18</v>
      </c>
      <c r="AL46" s="31">
        <f>AK46</f>
        <v>18</v>
      </c>
      <c r="AM46" s="31"/>
      <c r="AN46" s="31">
        <f>AL46</f>
        <v>18</v>
      </c>
      <c r="AO46" s="31" t="s">
        <v>262</v>
      </c>
      <c r="AP46" s="31">
        <f>AN46</f>
        <v>18</v>
      </c>
      <c r="AQ46" s="29" t="s">
        <v>260</v>
      </c>
      <c r="AR46" s="32"/>
      <c r="AS46" s="32"/>
      <c r="AT46" s="32"/>
      <c r="AU46" s="32"/>
      <c r="AV46" s="32"/>
    </row>
    <row r="47" spans="1:48" s="33" customFormat="1" ht="22.5" x14ac:dyDescent="0.25">
      <c r="A47" s="28"/>
      <c r="B47" s="36" t="s">
        <v>261</v>
      </c>
      <c r="C47" s="30"/>
      <c r="D47" s="32">
        <f>1/TAN(PI()/180*(D46+D16))</f>
        <v>2.5128890335228919</v>
      </c>
      <c r="E47" s="30"/>
      <c r="F47" s="30"/>
      <c r="G47" s="30"/>
      <c r="H47" s="32">
        <f>1/TAN(PI()/180*(H46+H16))</f>
        <v>2.7474774194546225</v>
      </c>
      <c r="I47" s="32">
        <f>1/TAN(PI()/180*(I46+I16))</f>
        <v>1.6976631193260892</v>
      </c>
      <c r="J47" s="30"/>
      <c r="K47" s="30"/>
      <c r="L47" s="34"/>
      <c r="M47" s="34"/>
      <c r="N47" s="34"/>
      <c r="O47" s="34"/>
      <c r="P47" s="34"/>
      <c r="Q47" s="34"/>
      <c r="R47" s="32">
        <f>1/TAN(PI()/180*(R46+10))</f>
        <v>1.880726465346332</v>
      </c>
      <c r="S47" s="32"/>
      <c r="T47" s="32">
        <f>1/TAN(PI()/180*(T46+T16))</f>
        <v>1.9626105055051506</v>
      </c>
      <c r="U47" s="32">
        <f>1/TAN(PI()/180*(U46+U16))</f>
        <v>2.3558523658237527</v>
      </c>
      <c r="V47" s="32">
        <f>1/TAN(PI()/180*(V46+U16))</f>
        <v>2.3558523658237527</v>
      </c>
      <c r="W47" s="32">
        <f>1/TAN(PI()/180*(W46+W16))</f>
        <v>1.5398649638145827</v>
      </c>
      <c r="X47" s="32"/>
      <c r="Y47" s="32"/>
      <c r="Z47" s="32">
        <f>1/TAN(PI()/180*(Z46+Z16))</f>
        <v>2.246036773904216</v>
      </c>
      <c r="AA47" s="32"/>
      <c r="AB47" s="32">
        <f>1/TAN(PI()/180*(AB46+AB16))</f>
        <v>1.8417708860334578</v>
      </c>
      <c r="AC47" s="32">
        <f>1/TAN(PI()/180*(AC46+AB16))</f>
        <v>1.8417708860334578</v>
      </c>
      <c r="AD47" s="32"/>
      <c r="AE47" s="32"/>
      <c r="AF47" s="32"/>
      <c r="AG47" s="32"/>
      <c r="AH47" s="32">
        <f>1/TAN(PI()/180*(AH46+AH16))</f>
        <v>2.246036773904216</v>
      </c>
      <c r="AI47" s="32">
        <f>1/TAN(PI()/180*(AI46+AI16))</f>
        <v>2.246036773904216</v>
      </c>
      <c r="AJ47" s="32"/>
      <c r="AK47" s="32">
        <f>1/TAN(PI()/180*(AK46+AK16))</f>
        <v>1.5398649638145827</v>
      </c>
      <c r="AL47" s="32">
        <f>1/TAN(PI()/180*(AL46+AL16))</f>
        <v>2.5386478956643073</v>
      </c>
      <c r="AM47" s="32"/>
      <c r="AN47" s="32">
        <f>1/TAN(PI()/180*(AN46+AN16))</f>
        <v>1.5398649638145827</v>
      </c>
      <c r="AO47" s="32"/>
      <c r="AP47" s="32">
        <f>1/TAN(PI()/180*(AP46+AP16))</f>
        <v>1.8040477552714238</v>
      </c>
      <c r="AQ47" s="36" t="s">
        <v>261</v>
      </c>
    </row>
    <row r="48" spans="1:48" s="33" customFormat="1" x14ac:dyDescent="0.25">
      <c r="A48" s="28"/>
      <c r="B48" s="29" t="s">
        <v>170</v>
      </c>
      <c r="C48" s="30"/>
      <c r="D48" s="48">
        <f>D47/D44*D39</f>
        <v>38.953941091950234</v>
      </c>
      <c r="E48" s="30"/>
      <c r="F48" s="30"/>
      <c r="G48" s="30"/>
      <c r="H48" s="48">
        <f>H47/H44*H39</f>
        <v>19.750493433448025</v>
      </c>
      <c r="I48" s="48">
        <f>I47/I44*I39</f>
        <v>9.1469311063743248</v>
      </c>
      <c r="J48" s="30"/>
      <c r="K48" s="30"/>
      <c r="L48" s="34"/>
      <c r="M48" s="34"/>
      <c r="N48" s="34"/>
      <c r="O48" s="34"/>
      <c r="P48" s="34"/>
      <c r="Q48" s="34"/>
      <c r="R48" s="48">
        <f>R47/R44*R39</f>
        <v>9.7836196752944176</v>
      </c>
      <c r="S48" s="48"/>
      <c r="T48" s="48">
        <f>T47/T44*T39</f>
        <v>10.862580211973524</v>
      </c>
      <c r="U48" s="48">
        <f>U47/U44*U39</f>
        <v>11.377658045162622</v>
      </c>
      <c r="V48" s="48">
        <f>V47/V44*V39</f>
        <v>11.377658045162622</v>
      </c>
      <c r="W48" s="48">
        <f>W47/W44*W39</f>
        <v>9.3455174586388949</v>
      </c>
      <c r="X48" s="48"/>
      <c r="Y48" s="48"/>
      <c r="Z48" s="48">
        <f>Z47/Z44*Z39</f>
        <v>12.02762601411475</v>
      </c>
      <c r="AA48" s="48"/>
      <c r="AB48" s="48">
        <f>AB47/AB44*AB39</f>
        <v>9.8147011802918289</v>
      </c>
      <c r="AC48" s="48">
        <f>AC47/AC44*AC39</f>
        <v>9.8147011802918289</v>
      </c>
      <c r="AD48" s="48"/>
      <c r="AE48" s="48"/>
      <c r="AF48" s="48"/>
      <c r="AG48" s="48"/>
      <c r="AH48" s="48">
        <f>AH47/AH44*AH39</f>
        <v>7.0935904817665483</v>
      </c>
      <c r="AI48" s="48">
        <f>AI47/AI44*AI39</f>
        <v>14.411957162287276</v>
      </c>
      <c r="AJ48" s="48"/>
      <c r="AK48" s="48">
        <f>AK47/AK44*AK39</f>
        <v>8.9004928177513261</v>
      </c>
      <c r="AL48" s="48">
        <f>AL47/AL44*AL39</f>
        <v>13.206155152441253</v>
      </c>
      <c r="AM48" s="48"/>
      <c r="AN48" s="48">
        <f>AN47/AN44*AN39</f>
        <v>8.9004928177513278</v>
      </c>
      <c r="AO48" s="48"/>
      <c r="AP48" s="48">
        <f>AP47/AP44*AP39</f>
        <v>9.1240466909416948</v>
      </c>
      <c r="AQ48" s="29" t="s">
        <v>170</v>
      </c>
    </row>
    <row r="49" spans="1:43" s="33" customFormat="1" x14ac:dyDescent="0.25">
      <c r="A49" s="28"/>
      <c r="B49" s="29" t="s">
        <v>263</v>
      </c>
      <c r="C49" s="30"/>
      <c r="D49" s="48">
        <f>D37*D48</f>
        <v>143.82993633950858</v>
      </c>
      <c r="E49" s="30"/>
      <c r="F49" s="30"/>
      <c r="G49" s="30"/>
      <c r="H49" s="48">
        <f>H37*H48</f>
        <v>184.24650124258227</v>
      </c>
      <c r="I49" s="48">
        <f>I37*I48</f>
        <v>85.371356992827032</v>
      </c>
      <c r="J49" s="30"/>
      <c r="K49" s="35"/>
      <c r="L49" s="34"/>
      <c r="M49" s="34"/>
      <c r="N49" s="34"/>
      <c r="O49" s="34"/>
      <c r="P49" s="34"/>
      <c r="Q49" s="34"/>
      <c r="R49" s="48">
        <f>R37*R48</f>
        <v>105.66309249317972</v>
      </c>
      <c r="S49" s="48"/>
      <c r="T49" s="48">
        <f>T37*T48</f>
        <v>95.590705865367028</v>
      </c>
      <c r="U49" s="48">
        <f>U37*U48</f>
        <v>100.12339079743109</v>
      </c>
      <c r="V49" s="48">
        <f>V37*V48</f>
        <v>77.017992921100827</v>
      </c>
      <c r="W49" s="48">
        <f>W37*W48</f>
        <v>92.520622840525064</v>
      </c>
      <c r="X49" s="48"/>
      <c r="Y49" s="48"/>
      <c r="Z49" s="48">
        <f>Z37*Z48</f>
        <v>128.53270100426897</v>
      </c>
      <c r="AA49" s="48"/>
      <c r="AB49" s="48">
        <f>AB37*AB48</f>
        <v>82.66998301861193</v>
      </c>
      <c r="AC49" s="48">
        <f>AC37*AC48</f>
        <v>94.479980592699363</v>
      </c>
      <c r="AD49" s="48"/>
      <c r="AE49" s="48"/>
      <c r="AF49" s="48"/>
      <c r="AG49" s="48"/>
      <c r="AH49" s="48">
        <f>AH37*AH48</f>
        <v>69.162507197223846</v>
      </c>
      <c r="AI49" s="48">
        <f>AI37*AI48</f>
        <v>148.23194905452542</v>
      </c>
      <c r="AJ49" s="48"/>
      <c r="AK49" s="48">
        <f>AK37*AK48</f>
        <v>109.61659575546371</v>
      </c>
      <c r="AL49" s="48">
        <f>AL37*AL48</f>
        <v>131.2336631326518</v>
      </c>
      <c r="AM49" s="48"/>
      <c r="AN49" s="48">
        <f>AN37*AN48</f>
        <v>69.38303043114793</v>
      </c>
      <c r="AO49" s="48"/>
      <c r="AP49" s="48">
        <f>AP37*AP48</f>
        <v>87.748547805476292</v>
      </c>
      <c r="AQ49" s="29" t="s">
        <v>263</v>
      </c>
    </row>
    <row r="50" spans="1:43" s="71" customFormat="1" x14ac:dyDescent="0.25">
      <c r="A50" s="65" t="s">
        <v>329</v>
      </c>
      <c r="B50" s="66" t="s">
        <v>328</v>
      </c>
      <c r="C50" s="67"/>
      <c r="D50" s="67"/>
      <c r="E50" s="67"/>
      <c r="F50" s="67"/>
      <c r="G50" s="67"/>
      <c r="H50" s="73">
        <v>105</v>
      </c>
      <c r="I50" s="73">
        <v>80</v>
      </c>
      <c r="J50" s="75"/>
      <c r="K50" s="76"/>
      <c r="L50" s="73"/>
      <c r="M50" s="70"/>
      <c r="N50" s="70"/>
      <c r="O50" s="70"/>
      <c r="P50" s="70"/>
      <c r="Q50" s="70"/>
      <c r="R50" s="68">
        <v>100</v>
      </c>
      <c r="S50" s="68"/>
      <c r="T50" s="68"/>
      <c r="U50" s="97"/>
      <c r="V50" s="97"/>
      <c r="W50" s="68"/>
      <c r="X50" s="68"/>
      <c r="Y50" s="68"/>
      <c r="Z50" s="68"/>
      <c r="AA50" s="68"/>
      <c r="AB50" s="68"/>
      <c r="AC50" s="68"/>
      <c r="AD50" s="68"/>
      <c r="AE50" s="68"/>
      <c r="AF50" s="68"/>
      <c r="AG50" s="68"/>
      <c r="AH50" s="68"/>
      <c r="AI50" s="68"/>
      <c r="AJ50" s="68"/>
      <c r="AK50" s="68"/>
      <c r="AL50" s="68">
        <v>120</v>
      </c>
      <c r="AM50" s="68"/>
      <c r="AN50" s="73">
        <v>75</v>
      </c>
      <c r="AO50" s="68"/>
      <c r="AP50" s="73">
        <v>90</v>
      </c>
      <c r="AQ50" s="66" t="s">
        <v>328</v>
      </c>
    </row>
    <row r="51" spans="1:43" s="71" customFormat="1" x14ac:dyDescent="0.25">
      <c r="A51" s="65" t="s">
        <v>330</v>
      </c>
      <c r="B51" s="66" t="s">
        <v>259</v>
      </c>
      <c r="C51" s="67"/>
      <c r="D51" s="67"/>
      <c r="E51" s="67"/>
      <c r="F51" s="67"/>
      <c r="G51" s="67"/>
      <c r="H51" s="68">
        <v>12</v>
      </c>
      <c r="I51" s="68">
        <v>15</v>
      </c>
      <c r="J51" s="67"/>
      <c r="K51" s="69"/>
      <c r="L51" s="70"/>
      <c r="M51" s="70"/>
      <c r="N51" s="70"/>
      <c r="O51" s="70"/>
      <c r="P51" s="70"/>
      <c r="Q51" s="70"/>
      <c r="R51" s="68">
        <v>15</v>
      </c>
      <c r="S51" s="68"/>
      <c r="T51" s="68"/>
      <c r="U51" s="97"/>
      <c r="V51" s="97"/>
      <c r="W51" s="68"/>
      <c r="X51" s="68"/>
      <c r="Y51" s="68"/>
      <c r="Z51" s="68"/>
      <c r="AA51" s="68"/>
      <c r="AB51" s="68"/>
      <c r="AC51" s="68"/>
      <c r="AD51" s="68"/>
      <c r="AE51" s="68"/>
      <c r="AF51" s="68"/>
      <c r="AG51" s="68"/>
      <c r="AH51" s="68"/>
      <c r="AI51" s="68"/>
      <c r="AJ51" s="68"/>
      <c r="AK51" s="68"/>
      <c r="AL51" s="68">
        <v>13</v>
      </c>
      <c r="AM51" s="68"/>
      <c r="AN51" s="73">
        <v>15</v>
      </c>
      <c r="AO51" s="68"/>
      <c r="AP51" s="73">
        <v>15</v>
      </c>
      <c r="AQ51" s="66" t="s">
        <v>259</v>
      </c>
    </row>
    <row r="52" spans="1:43" s="71" customFormat="1" ht="22.5" x14ac:dyDescent="0.25">
      <c r="A52" s="65"/>
      <c r="B52" s="72" t="s">
        <v>268</v>
      </c>
      <c r="C52" s="67"/>
      <c r="D52" s="67"/>
      <c r="E52" s="67"/>
      <c r="F52" s="67"/>
      <c r="G52" s="67"/>
      <c r="H52" s="74">
        <v>1.7</v>
      </c>
      <c r="I52" s="68">
        <v>1.7</v>
      </c>
      <c r="J52" s="67"/>
      <c r="K52" s="69"/>
      <c r="L52" s="70"/>
      <c r="M52" s="70"/>
      <c r="N52" s="70"/>
      <c r="O52" s="70"/>
      <c r="P52" s="70"/>
      <c r="Q52" s="70"/>
      <c r="R52" s="74">
        <v>1.54</v>
      </c>
      <c r="S52" s="68"/>
      <c r="T52" s="68"/>
      <c r="U52" s="74"/>
      <c r="V52" s="74"/>
      <c r="W52" s="68"/>
      <c r="X52" s="68"/>
      <c r="Y52" s="68"/>
      <c r="Z52" s="68"/>
      <c r="AA52" s="68"/>
      <c r="AB52" s="68"/>
      <c r="AC52" s="68"/>
      <c r="AD52" s="68"/>
      <c r="AE52" s="68"/>
      <c r="AF52" s="68"/>
      <c r="AG52" s="68"/>
      <c r="AH52" s="68"/>
      <c r="AI52" s="68"/>
      <c r="AJ52" s="68"/>
      <c r="AK52" s="68"/>
      <c r="AL52" s="68">
        <v>2.3199999999999998</v>
      </c>
      <c r="AM52" s="68"/>
      <c r="AN52" s="74">
        <v>1.44</v>
      </c>
      <c r="AO52" s="68"/>
      <c r="AP52" s="74">
        <v>1.6</v>
      </c>
      <c r="AQ52" s="72" t="s">
        <v>268</v>
      </c>
    </row>
    <row r="53" spans="1:43" s="71" customFormat="1" x14ac:dyDescent="0.25">
      <c r="A53" s="65"/>
      <c r="B53" s="66" t="s">
        <v>169</v>
      </c>
      <c r="C53" s="67"/>
      <c r="D53" s="67"/>
      <c r="E53" s="67"/>
      <c r="F53" s="67"/>
      <c r="G53" s="67"/>
      <c r="H53" s="68">
        <v>28.5</v>
      </c>
      <c r="I53" s="68">
        <v>23.5</v>
      </c>
      <c r="J53" s="67"/>
      <c r="K53" s="69"/>
      <c r="L53" s="70"/>
      <c r="M53" s="70"/>
      <c r="N53" s="70"/>
      <c r="O53" s="70"/>
      <c r="P53" s="70"/>
      <c r="Q53" s="70"/>
      <c r="R53" s="68">
        <v>23</v>
      </c>
      <c r="S53" s="68"/>
      <c r="T53" s="68"/>
      <c r="U53" s="97"/>
      <c r="V53" s="97"/>
      <c r="W53" s="68"/>
      <c r="X53" s="68"/>
      <c r="Y53" s="68"/>
      <c r="Z53" s="68"/>
      <c r="AA53" s="68"/>
      <c r="AB53" s="68"/>
      <c r="AC53" s="68"/>
      <c r="AD53" s="68"/>
      <c r="AE53" s="68"/>
      <c r="AF53" s="68"/>
      <c r="AG53" s="68"/>
      <c r="AH53" s="68"/>
      <c r="AI53" s="68"/>
      <c r="AJ53" s="68"/>
      <c r="AK53" s="68"/>
      <c r="AL53" s="68">
        <v>19.8</v>
      </c>
      <c r="AM53" s="68"/>
      <c r="AN53" s="68">
        <v>19.7</v>
      </c>
      <c r="AO53" s="68"/>
      <c r="AP53" s="68">
        <v>20.9</v>
      </c>
      <c r="AQ53" s="66" t="s">
        <v>169</v>
      </c>
    </row>
    <row r="54" spans="1:43" ht="26.25" x14ac:dyDescent="0.25">
      <c r="A54" s="7" t="s">
        <v>171</v>
      </c>
      <c r="B54" s="9" t="s">
        <v>172</v>
      </c>
      <c r="D54" s="13" t="s">
        <v>359</v>
      </c>
      <c r="G54" s="13" t="s">
        <v>56</v>
      </c>
      <c r="I54" s="19" t="s">
        <v>307</v>
      </c>
      <c r="K54" s="19"/>
      <c r="L54" s="13" t="s">
        <v>173</v>
      </c>
      <c r="N54" s="13" t="s">
        <v>173</v>
      </c>
      <c r="O54" s="13" t="s">
        <v>183</v>
      </c>
      <c r="P54" s="13" t="s">
        <v>285</v>
      </c>
      <c r="R54" s="13" t="s">
        <v>174</v>
      </c>
      <c r="T54" s="13" t="s">
        <v>175</v>
      </c>
      <c r="U54" s="95" t="s">
        <v>113</v>
      </c>
      <c r="V54" s="95" t="s">
        <v>56</v>
      </c>
      <c r="W54" s="13" t="s">
        <v>173</v>
      </c>
      <c r="X54" s="13" t="s">
        <v>353</v>
      </c>
      <c r="Z54" s="13" t="s">
        <v>113</v>
      </c>
      <c r="AB54" s="13" t="s">
        <v>176</v>
      </c>
      <c r="AC54" s="13" t="s">
        <v>177</v>
      </c>
      <c r="AF54" s="13" t="s">
        <v>178</v>
      </c>
      <c r="AH54" s="13" t="s">
        <v>423</v>
      </c>
      <c r="AI54" s="13" t="s">
        <v>179</v>
      </c>
      <c r="AJ54" s="13" t="s">
        <v>274</v>
      </c>
      <c r="AK54" s="13" t="s">
        <v>174</v>
      </c>
      <c r="AN54" s="13" t="s">
        <v>174</v>
      </c>
      <c r="AO54" s="55" t="s">
        <v>430</v>
      </c>
      <c r="AP54" s="13" t="s">
        <v>56</v>
      </c>
      <c r="AQ54" s="7" t="s">
        <v>171</v>
      </c>
    </row>
    <row r="55" spans="1:43" ht="23.25" x14ac:dyDescent="0.25">
      <c r="D55" s="19"/>
      <c r="K55" s="19"/>
      <c r="L55" s="13" t="s">
        <v>180</v>
      </c>
      <c r="R55" s="23" t="s">
        <v>270</v>
      </c>
      <c r="S55" s="23"/>
      <c r="U55" s="95"/>
      <c r="V55" s="95"/>
      <c r="W55" s="13" t="s">
        <v>181</v>
      </c>
      <c r="AF55" s="13" t="s">
        <v>173</v>
      </c>
      <c r="AI55" s="13" t="s">
        <v>182</v>
      </c>
      <c r="AJ55" s="13" t="s">
        <v>275</v>
      </c>
      <c r="AN55" s="27" t="s">
        <v>258</v>
      </c>
      <c r="AO55" s="55"/>
    </row>
    <row r="56" spans="1:43" x14ac:dyDescent="0.25">
      <c r="B56" s="9" t="s">
        <v>252</v>
      </c>
      <c r="D56" s="19">
        <v>0.72</v>
      </c>
      <c r="I56" s="19">
        <v>1.22</v>
      </c>
      <c r="K56" s="19"/>
      <c r="N56" s="13">
        <v>1.32</v>
      </c>
      <c r="R56" s="23">
        <v>1.37</v>
      </c>
      <c r="S56" s="23"/>
      <c r="U56" s="2">
        <f>0.3048*4</f>
        <v>1.2192000000000001</v>
      </c>
      <c r="V56" s="95"/>
      <c r="W56" s="13">
        <v>1.32</v>
      </c>
      <c r="Z56" s="13">
        <v>1.37</v>
      </c>
      <c r="AB56" s="13">
        <v>1.37</v>
      </c>
      <c r="AC56" s="13">
        <v>1.22</v>
      </c>
      <c r="AK56" s="13">
        <v>1.37</v>
      </c>
      <c r="AN56" s="27">
        <v>1.37</v>
      </c>
      <c r="AQ56" s="90" t="s">
        <v>131</v>
      </c>
    </row>
    <row r="57" spans="1:43" ht="26.25" x14ac:dyDescent="0.25">
      <c r="B57" s="56" t="s">
        <v>346</v>
      </c>
      <c r="D57" s="19">
        <v>1</v>
      </c>
      <c r="G57" s="13" t="s">
        <v>397</v>
      </c>
      <c r="I57" s="19">
        <v>3</v>
      </c>
      <c r="K57" s="19"/>
      <c r="L57" s="13">
        <v>2</v>
      </c>
      <c r="R57" s="13" t="s">
        <v>185</v>
      </c>
      <c r="T57" s="55" t="s">
        <v>271</v>
      </c>
      <c r="U57" s="98">
        <v>1</v>
      </c>
      <c r="V57" s="98">
        <v>1</v>
      </c>
      <c r="W57" s="13">
        <v>2</v>
      </c>
      <c r="AB57" s="13" t="s">
        <v>184</v>
      </c>
      <c r="AF57" s="13" t="s">
        <v>183</v>
      </c>
      <c r="AI57" s="13">
        <v>2</v>
      </c>
      <c r="AJ57" s="13">
        <v>2</v>
      </c>
      <c r="AK57" s="13">
        <v>2</v>
      </c>
      <c r="AL57" s="13">
        <v>4</v>
      </c>
      <c r="AM57" s="13">
        <v>2</v>
      </c>
      <c r="AN57" s="13">
        <v>3</v>
      </c>
      <c r="AP57" s="13">
        <v>4</v>
      </c>
    </row>
    <row r="58" spans="1:43" ht="34.5" x14ac:dyDescent="0.25">
      <c r="A58" s="7" t="s">
        <v>186</v>
      </c>
      <c r="B58" s="9" t="s">
        <v>187</v>
      </c>
      <c r="H58" s="19">
        <v>2009</v>
      </c>
      <c r="I58" s="19">
        <v>1988</v>
      </c>
      <c r="K58" s="19"/>
      <c r="L58" s="13" t="s">
        <v>188</v>
      </c>
      <c r="M58" s="23"/>
      <c r="N58" s="23">
        <v>1981</v>
      </c>
      <c r="O58" s="23"/>
      <c r="P58" s="23" t="s">
        <v>284</v>
      </c>
      <c r="Q58" s="23"/>
      <c r="R58" s="13" t="s">
        <v>189</v>
      </c>
      <c r="U58" s="95"/>
      <c r="V58" s="95"/>
      <c r="AI58" s="13">
        <v>1993</v>
      </c>
      <c r="AM58" s="13" t="s">
        <v>190</v>
      </c>
      <c r="AN58" s="13">
        <v>1996</v>
      </c>
      <c r="AO58" s="13" t="s">
        <v>191</v>
      </c>
      <c r="AP58" s="13">
        <v>1996</v>
      </c>
      <c r="AQ58" s="7" t="str">
        <f>A58</f>
        <v>History</v>
      </c>
    </row>
    <row r="59" spans="1:43" ht="24.75" x14ac:dyDescent="0.25">
      <c r="B59" s="9" t="s">
        <v>192</v>
      </c>
      <c r="G59" s="13" t="s">
        <v>398</v>
      </c>
      <c r="I59" s="19" t="s">
        <v>310</v>
      </c>
      <c r="K59" s="24" t="s">
        <v>345</v>
      </c>
      <c r="L59" s="64" t="s">
        <v>344</v>
      </c>
      <c r="N59" s="64" t="s">
        <v>384</v>
      </c>
      <c r="O59" s="64"/>
      <c r="R59" s="13" t="s">
        <v>193</v>
      </c>
      <c r="T59" s="13" t="s">
        <v>194</v>
      </c>
      <c r="U59" s="95"/>
      <c r="V59" s="95"/>
      <c r="W59" s="13" t="s">
        <v>195</v>
      </c>
      <c r="AB59" s="13" t="s">
        <v>196</v>
      </c>
      <c r="AI59" s="13" t="s">
        <v>197</v>
      </c>
      <c r="AM59" s="13" t="s">
        <v>198</v>
      </c>
      <c r="AN59" s="13" t="s">
        <v>342</v>
      </c>
      <c r="AO59" s="13" t="s">
        <v>195</v>
      </c>
      <c r="AP59" s="64" t="s">
        <v>343</v>
      </c>
    </row>
    <row r="60" spans="1:43" ht="34.5" x14ac:dyDescent="0.25">
      <c r="B60" s="9" t="s">
        <v>199</v>
      </c>
      <c r="K60" s="19"/>
      <c r="L60" s="13" t="s">
        <v>200</v>
      </c>
      <c r="N60" s="23" t="s">
        <v>348</v>
      </c>
      <c r="R60" s="13" t="s">
        <v>201</v>
      </c>
      <c r="U60" s="95"/>
      <c r="V60" s="95"/>
      <c r="Z60" s="13">
        <v>1832</v>
      </c>
      <c r="AB60" s="4" t="s">
        <v>202</v>
      </c>
      <c r="AM60" s="4"/>
      <c r="AN60" s="13" t="s">
        <v>203</v>
      </c>
      <c r="AP60" s="13">
        <v>1869</v>
      </c>
    </row>
    <row r="61" spans="1:43" ht="102" x14ac:dyDescent="0.25">
      <c r="B61" s="9" t="s">
        <v>204</v>
      </c>
      <c r="K61" s="19"/>
      <c r="R61" s="13" t="s">
        <v>205</v>
      </c>
      <c r="T61" s="13" t="s">
        <v>206</v>
      </c>
      <c r="U61" s="98" t="s">
        <v>412</v>
      </c>
      <c r="V61" s="98" t="s">
        <v>413</v>
      </c>
      <c r="AH61" s="13" t="s">
        <v>404</v>
      </c>
      <c r="AI61" s="13" t="s">
        <v>206</v>
      </c>
      <c r="AM61" s="6"/>
      <c r="AN61" s="23" t="s">
        <v>405</v>
      </c>
      <c r="AP61" s="13" t="s">
        <v>207</v>
      </c>
    </row>
    <row r="62" spans="1:43" ht="62.25" customHeight="1" x14ac:dyDescent="0.25">
      <c r="B62" s="9" t="s">
        <v>208</v>
      </c>
      <c r="C62" s="21" t="s">
        <v>221</v>
      </c>
      <c r="D62" s="21"/>
      <c r="E62" s="59" t="s">
        <v>291</v>
      </c>
      <c r="F62" s="64" t="s">
        <v>322</v>
      </c>
      <c r="G62" s="24" t="s">
        <v>399</v>
      </c>
      <c r="H62" s="21" t="s">
        <v>245</v>
      </c>
      <c r="I62" s="21" t="s">
        <v>303</v>
      </c>
      <c r="J62" s="21" t="s">
        <v>221</v>
      </c>
      <c r="K62" s="21" t="s">
        <v>221</v>
      </c>
      <c r="L62" s="13" t="s">
        <v>209</v>
      </c>
      <c r="M62" s="60" t="s">
        <v>291</v>
      </c>
      <c r="N62" s="23" t="s">
        <v>385</v>
      </c>
      <c r="O62" s="23" t="s">
        <v>347</v>
      </c>
      <c r="P62" s="23" t="s">
        <v>283</v>
      </c>
      <c r="Q62" s="60" t="s">
        <v>291</v>
      </c>
      <c r="R62" s="13" t="s">
        <v>210</v>
      </c>
      <c r="S62" s="60" t="s">
        <v>291</v>
      </c>
      <c r="T62" s="13" t="s">
        <v>211</v>
      </c>
      <c r="U62" s="98" t="s">
        <v>401</v>
      </c>
      <c r="V62" s="98" t="s">
        <v>401</v>
      </c>
      <c r="W62" s="13" t="s">
        <v>195</v>
      </c>
      <c r="X62" s="13" t="s">
        <v>354</v>
      </c>
      <c r="Y62" s="21" t="s">
        <v>221</v>
      </c>
      <c r="Z62" s="21" t="s">
        <v>387</v>
      </c>
      <c r="AA62" s="19" t="s">
        <v>386</v>
      </c>
      <c r="AB62" s="13" t="s">
        <v>212</v>
      </c>
      <c r="AF62" s="13" t="s">
        <v>213</v>
      </c>
      <c r="AG62" s="60" t="s">
        <v>300</v>
      </c>
      <c r="AH62" s="60" t="s">
        <v>425</v>
      </c>
      <c r="AI62" s="13" t="s">
        <v>214</v>
      </c>
      <c r="AJ62" s="13" t="s">
        <v>216</v>
      </c>
      <c r="AL62" s="4" t="s">
        <v>215</v>
      </c>
      <c r="AM62" s="6"/>
      <c r="AN62" s="13" t="s">
        <v>216</v>
      </c>
      <c r="AO62" s="55" t="s">
        <v>429</v>
      </c>
      <c r="AP62" s="13" t="s">
        <v>211</v>
      </c>
      <c r="AQ62" s="7" t="s">
        <v>208</v>
      </c>
    </row>
    <row r="63" spans="1:43" ht="38.25" customHeight="1" x14ac:dyDescent="0.25">
      <c r="C63" s="21"/>
      <c r="D63" s="21"/>
      <c r="E63" s="59"/>
      <c r="F63" s="64"/>
      <c r="G63" s="64"/>
      <c r="H63" s="21"/>
      <c r="I63" s="21"/>
      <c r="J63" s="21"/>
      <c r="K63" s="21"/>
      <c r="M63" s="60"/>
      <c r="N63" s="23"/>
      <c r="O63" s="23"/>
      <c r="P63" s="23"/>
      <c r="Q63" s="60"/>
      <c r="S63" s="60"/>
      <c r="U63" s="23" t="s">
        <v>414</v>
      </c>
      <c r="Y63" s="21"/>
      <c r="AG63" s="60"/>
      <c r="AH63" s="99" t="s">
        <v>424</v>
      </c>
      <c r="AL63" s="4"/>
      <c r="AM63" s="6"/>
    </row>
    <row r="64" spans="1:43" s="8" customFormat="1" x14ac:dyDescent="0.25">
      <c r="A64" s="14"/>
      <c r="B64" s="15"/>
      <c r="C64" s="17"/>
      <c r="D64" s="17"/>
      <c r="E64" s="17"/>
      <c r="F64" s="17"/>
      <c r="G64" s="17"/>
      <c r="H64" s="17"/>
      <c r="I64" s="17"/>
      <c r="J64" s="17"/>
      <c r="K64" s="17"/>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4"/>
    </row>
    <row r="65" spans="1:44" ht="12.75" x14ac:dyDescent="0.2">
      <c r="A65" s="61"/>
      <c r="B65" s="81" t="str">
        <f t="shared" ref="B65:N65" si="6">B6</f>
        <v>Mill</v>
      </c>
      <c r="C65" s="61" t="str">
        <f t="shared" si="6"/>
        <v>Barham Down</v>
      </c>
      <c r="D65" s="61" t="str">
        <f t="shared" si="6"/>
        <v>Bloxham Grove</v>
      </c>
      <c r="E65" s="61" t="str">
        <f t="shared" si="6"/>
        <v>Bolsover</v>
      </c>
      <c r="F65" s="61" t="str">
        <f t="shared" si="6"/>
        <v>Boston, Maud Foster</v>
      </c>
      <c r="G65" s="61"/>
      <c r="H65" s="61" t="str">
        <f t="shared" si="6"/>
        <v>Brill</v>
      </c>
      <c r="I65" s="61" t="str">
        <f t="shared" si="6"/>
        <v>Burwell</v>
      </c>
      <c r="J65" s="61" t="str">
        <f t="shared" si="6"/>
        <v>Chillenden</v>
      </c>
      <c r="K65" s="61" t="str">
        <f t="shared" si="6"/>
        <v>Chislet</v>
      </c>
      <c r="L65" s="61" t="str">
        <f t="shared" si="6"/>
        <v>Cromer</v>
      </c>
      <c r="M65" s="61" t="str">
        <f t="shared" si="6"/>
        <v>Coddington</v>
      </c>
      <c r="N65" s="61" t="str">
        <f t="shared" si="6"/>
        <v>Great Gransden</v>
      </c>
      <c r="O65" s="61"/>
      <c r="P65" s="61" t="str">
        <f t="shared" ref="P65:AB65" si="7">P6</f>
        <v>Harriermere</v>
      </c>
      <c r="Q65" s="61" t="str">
        <f t="shared" si="7"/>
        <v>Heage</v>
      </c>
      <c r="R65" s="61" t="str">
        <f t="shared" si="7"/>
        <v>Heckington</v>
      </c>
      <c r="S65" s="61" t="str">
        <f t="shared" si="7"/>
        <v>Long Clawson</v>
      </c>
      <c r="T65" s="61" t="str">
        <f t="shared" si="7"/>
        <v>Margate, Drapers Mill</v>
      </c>
      <c r="U65" s="61" t="str">
        <f t="shared" si="7"/>
        <v>Oldland, Keymer</v>
      </c>
      <c r="V65" s="61" t="str">
        <f>U6</f>
        <v>Oldland, Keymer</v>
      </c>
      <c r="W65" s="61" t="str">
        <f t="shared" si="7"/>
        <v>Over</v>
      </c>
      <c r="X65" s="61" t="str">
        <f>X6</f>
        <v>Plouezec, Brittany</v>
      </c>
      <c r="Y65" s="61" t="str">
        <f t="shared" si="7"/>
        <v>Read</v>
      </c>
      <c r="Z65" s="61" t="str">
        <f t="shared" si="7"/>
        <v>Quainton</v>
      </c>
      <c r="AA65" s="61" t="str">
        <f t="shared" si="7"/>
        <v>Quainton</v>
      </c>
      <c r="AB65" s="61" t="str">
        <f t="shared" si="7"/>
        <v>Sandwich White Mill</v>
      </c>
      <c r="AC65" s="61"/>
      <c r="AD65" s="61"/>
      <c r="AE65" s="61"/>
      <c r="AF65" s="61" t="str">
        <f t="shared" ref="AF65:AP65" si="8">AF6</f>
        <v>Soham Downfield</v>
      </c>
      <c r="AG65" s="61" t="str">
        <f t="shared" si="8"/>
        <v>South Normanton</v>
      </c>
      <c r="AH65" s="61" t="str">
        <f t="shared" si="8"/>
        <v>South Walsham</v>
      </c>
      <c r="AI65" s="61" t="str">
        <f t="shared" si="8"/>
        <v>Stelling Minnis</v>
      </c>
      <c r="AJ65" s="61" t="str">
        <f t="shared" si="8"/>
        <v>Stickford</v>
      </c>
      <c r="AK65" s="61" t="str">
        <f t="shared" si="8"/>
        <v>Thelnetham</v>
      </c>
      <c r="AL65" s="61" t="str">
        <f t="shared" si="8"/>
        <v>Upminster</v>
      </c>
      <c r="AM65" s="61" t="str">
        <f t="shared" si="8"/>
        <v>West Wratting</v>
      </c>
      <c r="AN65" s="61" t="str">
        <f t="shared" si="8"/>
        <v>Wicken Corn Mill</v>
      </c>
      <c r="AO65" s="61" t="str">
        <f t="shared" si="8"/>
        <v>Wicken Fen</v>
      </c>
      <c r="AP65" s="61" t="str">
        <f t="shared" si="8"/>
        <v>Willesborough</v>
      </c>
      <c r="AQ65" s="61"/>
      <c r="AR65" s="61"/>
    </row>
    <row r="66" spans="1:44" ht="147" x14ac:dyDescent="0.25">
      <c r="B66" s="9" t="s">
        <v>217</v>
      </c>
      <c r="C66" s="19" t="s">
        <v>240</v>
      </c>
      <c r="D66" s="19"/>
      <c r="E66" s="21" t="s">
        <v>294</v>
      </c>
      <c r="F66" s="21"/>
      <c r="G66" s="21"/>
      <c r="H66" s="21" t="s">
        <v>246</v>
      </c>
      <c r="I66" s="22" t="s">
        <v>311</v>
      </c>
      <c r="J66" s="21" t="s">
        <v>234</v>
      </c>
      <c r="K66" s="22" t="s">
        <v>228</v>
      </c>
      <c r="L66" s="23" t="s">
        <v>227</v>
      </c>
      <c r="M66" s="23" t="s">
        <v>297</v>
      </c>
      <c r="N66" s="23"/>
      <c r="O66" s="23"/>
      <c r="P66" s="23" t="s">
        <v>286</v>
      </c>
      <c r="Q66" s="22" t="s">
        <v>294</v>
      </c>
      <c r="R66" s="23" t="s">
        <v>242</v>
      </c>
      <c r="S66" s="23"/>
      <c r="T66" s="23" t="s">
        <v>313</v>
      </c>
      <c r="U66" s="23"/>
      <c r="V66" s="23"/>
      <c r="W66" s="23" t="s">
        <v>314</v>
      </c>
      <c r="X66" s="23"/>
      <c r="Y66" s="4"/>
      <c r="AA66" s="22" t="s">
        <v>391</v>
      </c>
      <c r="AI66" s="23" t="s">
        <v>315</v>
      </c>
      <c r="AJ66" s="23" t="s">
        <v>265</v>
      </c>
      <c r="AL66" s="50" t="s">
        <v>316</v>
      </c>
      <c r="AM66" s="23" t="s">
        <v>317</v>
      </c>
      <c r="AN66" s="50" t="s">
        <v>266</v>
      </c>
      <c r="AO66" s="92" t="s">
        <v>218</v>
      </c>
      <c r="AP66" s="50" t="s">
        <v>318</v>
      </c>
    </row>
    <row r="67" spans="1:44" s="3" customFormat="1" ht="11.25" customHeight="1" x14ac:dyDescent="0.25">
      <c r="A67" s="16"/>
      <c r="B67" s="5"/>
      <c r="C67" s="18"/>
      <c r="D67" s="18"/>
      <c r="E67" s="18"/>
      <c r="F67" s="18"/>
      <c r="G67" s="18"/>
      <c r="H67" s="18"/>
      <c r="I67" s="18"/>
      <c r="J67" s="18"/>
      <c r="K67" s="20"/>
      <c r="L67" s="4"/>
      <c r="M67" s="4"/>
      <c r="N67" s="4"/>
      <c r="O67" s="4"/>
      <c r="P67" s="78"/>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7"/>
    </row>
    <row r="68" spans="1:44" s="3" customFormat="1" ht="90" customHeight="1" x14ac:dyDescent="0.25">
      <c r="A68" s="16"/>
      <c r="B68" s="5"/>
      <c r="C68" s="18"/>
      <c r="D68" s="18"/>
      <c r="E68" s="18"/>
      <c r="F68" s="77" t="s">
        <v>332</v>
      </c>
      <c r="G68" s="77"/>
      <c r="H68" s="18"/>
      <c r="I68" s="22" t="s">
        <v>312</v>
      </c>
      <c r="J68" s="18"/>
      <c r="K68" s="20"/>
      <c r="L68" s="4"/>
      <c r="M68" s="4"/>
      <c r="N68" s="4"/>
      <c r="O68" s="4"/>
      <c r="P68" s="79" t="s">
        <v>333</v>
      </c>
      <c r="Q68" s="4"/>
      <c r="R68" s="23" t="s">
        <v>319</v>
      </c>
      <c r="S68" s="4"/>
      <c r="T68" s="4"/>
      <c r="U68" s="4"/>
      <c r="V68" s="4"/>
      <c r="W68" s="4"/>
      <c r="X68" s="4"/>
      <c r="Y68" s="4"/>
      <c r="Z68" s="4"/>
      <c r="AA68" s="4"/>
      <c r="AB68" s="4"/>
      <c r="AC68" s="4"/>
      <c r="AD68" s="4"/>
      <c r="AE68" s="4"/>
      <c r="AF68" s="4"/>
      <c r="AG68" s="4"/>
      <c r="AH68" s="4"/>
      <c r="AI68" s="23" t="s">
        <v>341</v>
      </c>
      <c r="AJ68" s="4"/>
      <c r="AK68" s="4"/>
      <c r="AL68" s="4"/>
      <c r="AM68" s="4"/>
      <c r="AN68" s="50" t="s">
        <v>319</v>
      </c>
      <c r="AO68" s="50" t="s">
        <v>426</v>
      </c>
      <c r="AP68" s="4"/>
      <c r="AQ68" s="7"/>
    </row>
    <row r="69" spans="1:44" s="3" customFormat="1" ht="11.25" customHeight="1" x14ac:dyDescent="0.25">
      <c r="A69" s="16"/>
      <c r="B69" s="5"/>
      <c r="C69" s="18"/>
      <c r="D69" s="18"/>
      <c r="E69" s="18"/>
      <c r="F69" s="18"/>
      <c r="G69" s="18"/>
      <c r="H69" s="18"/>
      <c r="I69" s="18"/>
      <c r="J69" s="18"/>
      <c r="K69" s="20"/>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7"/>
    </row>
    <row r="70" spans="1:44" s="8" customFormat="1" x14ac:dyDescent="0.25">
      <c r="A70" s="14"/>
      <c r="B70" s="15"/>
      <c r="C70" s="17"/>
      <c r="D70" s="17"/>
      <c r="E70" s="17"/>
      <c r="F70" s="17"/>
      <c r="G70" s="17"/>
      <c r="H70" s="17"/>
      <c r="I70" s="17"/>
      <c r="J70" s="17"/>
      <c r="K70" s="17"/>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4"/>
    </row>
    <row r="71" spans="1:44" ht="12.75" x14ac:dyDescent="0.2">
      <c r="A71" s="61"/>
      <c r="B71" s="81" t="str">
        <f t="shared" ref="B71:AG71" si="9">B6</f>
        <v>Mill</v>
      </c>
      <c r="C71" s="61" t="str">
        <f t="shared" si="9"/>
        <v>Barham Down</v>
      </c>
      <c r="D71" s="61" t="str">
        <f t="shared" si="9"/>
        <v>Bloxham Grove</v>
      </c>
      <c r="E71" s="61" t="str">
        <f t="shared" si="9"/>
        <v>Bolsover</v>
      </c>
      <c r="F71" s="61" t="str">
        <f t="shared" si="9"/>
        <v>Boston, Maud Foster</v>
      </c>
      <c r="G71" s="61"/>
      <c r="H71" s="61" t="str">
        <f t="shared" si="9"/>
        <v>Brill</v>
      </c>
      <c r="I71" s="61" t="str">
        <f t="shared" si="9"/>
        <v>Burwell</v>
      </c>
      <c r="J71" s="61" t="str">
        <f t="shared" si="9"/>
        <v>Chillenden</v>
      </c>
      <c r="K71" s="61" t="str">
        <f t="shared" si="9"/>
        <v>Chislet</v>
      </c>
      <c r="L71" s="61" t="str">
        <f t="shared" si="9"/>
        <v>Cromer</v>
      </c>
      <c r="M71" s="61" t="str">
        <f t="shared" si="9"/>
        <v>Coddington</v>
      </c>
      <c r="N71" s="61" t="str">
        <f t="shared" si="9"/>
        <v>Great Gransden</v>
      </c>
      <c r="O71" s="61"/>
      <c r="P71" s="61" t="str">
        <f t="shared" si="9"/>
        <v>Harriermere</v>
      </c>
      <c r="Q71" s="61" t="str">
        <f t="shared" si="9"/>
        <v>Heage</v>
      </c>
      <c r="R71" s="61" t="str">
        <f t="shared" si="9"/>
        <v>Heckington</v>
      </c>
      <c r="S71" s="61" t="str">
        <f t="shared" si="9"/>
        <v>Long Clawson</v>
      </c>
      <c r="T71" s="62" t="str">
        <f t="shared" si="9"/>
        <v>Margate, Drapers Mill</v>
      </c>
      <c r="U71" s="62" t="str">
        <f>U6</f>
        <v>Oldland, Keymer</v>
      </c>
      <c r="V71" s="62" t="str">
        <f>U6</f>
        <v>Oldland, Keymer</v>
      </c>
      <c r="W71" s="61" t="str">
        <f t="shared" si="9"/>
        <v>Over</v>
      </c>
      <c r="X71" s="62" t="str">
        <f>X6</f>
        <v>Plouezec, Brittany</v>
      </c>
      <c r="Y71" s="61" t="str">
        <f t="shared" si="9"/>
        <v>Read</v>
      </c>
      <c r="Z71" s="61" t="str">
        <f t="shared" si="9"/>
        <v>Quainton</v>
      </c>
      <c r="AA71" s="61"/>
      <c r="AB71" s="63" t="str">
        <f t="shared" si="9"/>
        <v>Sandwich White Mill</v>
      </c>
      <c r="AC71" s="61"/>
      <c r="AD71" s="61"/>
      <c r="AE71" s="61"/>
      <c r="AF71" s="61" t="str">
        <f t="shared" si="9"/>
        <v>Soham Downfield</v>
      </c>
      <c r="AG71" s="61" t="str">
        <f t="shared" si="9"/>
        <v>South Normanton</v>
      </c>
      <c r="AH71" s="61"/>
      <c r="AI71" s="61" t="str">
        <f>AI6</f>
        <v>Stelling Minnis</v>
      </c>
      <c r="AJ71" s="61" t="str">
        <f t="shared" ref="AJ71:AP71" si="10">AJ6</f>
        <v>Stickford</v>
      </c>
      <c r="AK71" s="61" t="str">
        <f t="shared" si="10"/>
        <v>Thelnetham</v>
      </c>
      <c r="AL71" s="61" t="str">
        <f t="shared" si="10"/>
        <v>Upminster</v>
      </c>
      <c r="AM71" s="61" t="str">
        <f t="shared" si="10"/>
        <v>West Wratting</v>
      </c>
      <c r="AN71" s="62" t="str">
        <f t="shared" si="10"/>
        <v>Wicken Corn Mill</v>
      </c>
      <c r="AO71" s="61" t="str">
        <f t="shared" si="10"/>
        <v>Wicken Fen</v>
      </c>
      <c r="AP71" s="61" t="str">
        <f t="shared" si="10"/>
        <v>Willesborough</v>
      </c>
      <c r="AQ71" s="61"/>
    </row>
  </sheetData>
  <phoneticPr fontId="0" type="noConversion"/>
  <printOptions gridLines="1" gridLinesSet="0"/>
  <pageMargins left="0.98425196850393704" right="0.51181102362204722" top="0.78740157480314965" bottom="0.59055118110236227" header="0.51181102362204722" footer="0.51181102362204722"/>
  <pageSetup paperSize="9" scale="7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Power Calcs</vt:lpstr>
      <vt:lpstr>sail1</vt:lpstr>
      <vt:lpstr>sail1!Print_Titles</vt:lpstr>
    </vt:vector>
  </TitlesOfParts>
  <Company>East Coast Windpower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Pearce</dc:creator>
  <cp:lastModifiedBy>Dave</cp:lastModifiedBy>
  <cp:lastPrinted>2014-02-10T17:31:36Z</cp:lastPrinted>
  <dcterms:created xsi:type="dcterms:W3CDTF">2009-01-10T18:58:38Z</dcterms:created>
  <dcterms:modified xsi:type="dcterms:W3CDTF">2016-03-21T10:18:24Z</dcterms:modified>
</cp:coreProperties>
</file>